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Jq/rUr1m4Up2X77l89lTgr/Rp9VZuoeYlfWMOAMBqgk/nKiGLXW0CAF9OHMPmC6TwEU0VdFQsFOporZVIRocg==" workbookSaltValue="eMhcLzm7uOJC0cC/9jAB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F16" i="11"/>
  <c r="AQ16" i="11" s="1"/>
  <c r="U13" i="16"/>
  <c r="P13" i="14"/>
  <c r="R13" i="17"/>
  <c r="R8" i="9"/>
  <c r="X12" i="21" s="1"/>
  <c r="I13" i="14"/>
  <c r="BG17" i="13"/>
  <c r="AP17" i="20"/>
  <c r="BL19"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S13" i="17"/>
  <c r="S12" i="14"/>
  <c r="V12" i="14" s="1"/>
  <c r="S17" i="14"/>
  <c r="V17" i="14" s="1"/>
  <c r="R10" i="14"/>
  <c r="R17" i="14"/>
  <c r="R29" i="14"/>
  <c r="T21" i="11"/>
  <c r="T29"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BF23" i="13"/>
  <c r="T11" i="11"/>
  <c r="T25" i="11"/>
  <c r="T13" i="11"/>
  <c r="R19" i="14"/>
  <c r="R12" i="14"/>
  <c r="S29" i="14"/>
  <c r="V29" i="14" s="1"/>
  <c r="S19" i="14"/>
  <c r="V19" i="14" s="1"/>
  <c r="R13" i="14"/>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H9" i="16"/>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G19" i="11"/>
  <c r="BJ18" i="11"/>
  <c r="BM17" i="11"/>
  <c r="BF21" i="11"/>
  <c r="BF17" i="11"/>
  <c r="BL12" i="11"/>
  <c r="BK21" i="11"/>
  <c r="BI25" i="11"/>
  <c r="V13" i="11"/>
  <c r="BI19" i="1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BJ22" i="11"/>
  <c r="BG10" i="11"/>
  <c r="V11" i="16"/>
  <c r="V25" i="11"/>
  <c r="BF10" i="11"/>
  <c r="Q10" i="11" s="1"/>
  <c r="V11" i="11"/>
  <c r="BM12" i="11"/>
  <c r="V9" i="11"/>
  <c r="BJ16" i="11"/>
  <c r="BJ23" i="11" s="1"/>
  <c r="AP16" i="20"/>
  <c r="V20" i="11"/>
  <c r="BL29" i="11"/>
  <c r="BW20" i="20"/>
  <c r="BW33" i="20" s="1"/>
  <c r="BV18" i="16"/>
  <c r="BV12" i="16"/>
  <c r="BV14" i="16" s="1"/>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AA31" i="11"/>
  <c r="AQ17" i="11"/>
  <c r="P12"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<sst xmlns="http://schemas.openxmlformats.org/spreadsheetml/2006/main" count="2682" uniqueCount="1193">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</sst>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j5YZlZCF57Gi4T9ghCQoJ2LORAC+LsITGWLU8M7UxvneqJLIct5DedgfDFN7Wx15v5zYXAPz4Xf5KwN85LgUg==" saltValue="T9Wmq1dpODAzR2vJyKZm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10</v>
      </c>
      <c r="F10" s="240">
        <f>IF(ISNUMBER(Datos!K10),Datos!K10," - ")</f>
        <v>7</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42.428571428571431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32.090439276485789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734</v>
      </c>
      <c r="D17" s="239">
        <f>IF(ISNUMBER(IF(D_I="SI",Datos!I17,Datos!I17+Datos!AC17)),IF(D_I="SI",Datos!I17,Datos!I17+Datos!AC17)," - ")</f>
        <v>722</v>
      </c>
      <c r="E17" s="240">
        <f>IF(ISNUMBER(IF(D_I="SI",Datos!J17,Datos!J17+Datos!AD17)),IF(D_I="SI",Datos!J17,Datos!J17+Datos!AD17)," - ")</f>
        <v>912</v>
      </c>
      <c r="F17" s="240">
        <f>IF(ISNUMBER(IF(D_I="SI",Datos!K17,Datos!K17+Datos!AE17)),IF(D_I="SI",Datos!K17,Datos!K17+Datos!AE17)," - ")</f>
        <v>741</v>
      </c>
      <c r="G17" s="1390" t="str">
        <f>IF(Datos!E17&lt;&gt;"",Datos!E17,Datos!D17)</f>
        <v>04</v>
      </c>
      <c r="H17" s="241">
        <f>IF(ISNUMBER(IF(D_I="SI",Datos!L17,Datos!L17+Datos!AF17)),IF(D_I="SI",Datos!L17,Datos!L17+Datos!AF17)," - ")</f>
        <v>905</v>
      </c>
      <c r="I17" s="1400" t="str">
        <f>IF(ISNUMBER(Datos!AS17/Datos!BM17),Datos!AS17/Datos!BM17," - ")</f>
        <v xml:space="preserve"> - </v>
      </c>
      <c r="J17" s="1401">
        <f>IF(ISNUMBER(Datos!BY17/Datos!CN17),Datos!BY17/Datos!CN17," - ")</f>
        <v>0</v>
      </c>
      <c r="K17" s="244">
        <f t="shared" si="3"/>
        <v>0.2329700272479564</v>
      </c>
      <c r="L17" s="1402">
        <f>IF(ISNUMBER(NºAsuntos!I17/NºAsuntos!G17),(NºAsuntos!I17/NºAsuntos!G17)*11," - ")</f>
        <v>13.434547908232119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137</v>
      </c>
      <c r="E18" s="240">
        <f>IF(ISNUMBER(IF(D_I="SI",Datos!J18,Datos!J18+Datos!AD18)),IF(D_I="SI",Datos!J18,Datos!J18+Datos!AD18)," - ")</f>
        <v>112</v>
      </c>
      <c r="F18" s="240">
        <f>IF(ISNUMBER(IF(D_I="SI",Datos!K18,Datos!K18+Datos!AE18)),IF(D_I="SI",Datos!K18,Datos!K18+Datos!AE18)," - ")</f>
        <v>102</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7.2992700729927001E-2</v>
      </c>
      <c r="L18" s="1402">
        <f>IF(ISNUMBER(NºAsuntos!I18/NºAsuntos!G18),(NºAsuntos!I18/NºAsuntos!G18)*11," - ")</f>
        <v>15.852941176470589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871</v>
      </c>
      <c r="D23" s="1407">
        <f>SUBTOTAL(9,D16:D22)</f>
        <v>859</v>
      </c>
      <c r="E23" s="1408">
        <f>SUBTOTAL(9,E16:E22)</f>
        <v>1024</v>
      </c>
      <c r="F23" s="1408">
        <f>SUBTOTAL(9,F16:F22)</f>
        <v>843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895</v>
      </c>
      <c r="D31" s="1435">
        <f>SUBTOTAL(9,D9:D30)</f>
        <v>883</v>
      </c>
      <c r="E31" s="1436">
        <f>SUBTOTAL(9,E9:E30)</f>
        <v>1034</v>
      </c>
      <c r="F31" s="1436">
        <f>SUBTOTAL(9,F9:F30)</f>
        <v>850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wa8SeQOWuzqPFFDo1p/Qw7+v6WcG0M+gpKVhZLE/IIVtSLkOfHbnbf4ro16WO25RzoFUPIkqwLUCfEd9Ap8ig==" saltValue="nvWLHKVHEbEGHMy4tV9b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hxWd7ItuOuyStRRNejQ9W7T+stmKusaNuW0WyRS5Zr0uJQ3v6REyh/uTM/J80hHRyUHblKRyNRLSEAh1HXOUw==" saltValue="IKtyINNEcHW7shB3Tt8q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10</v>
      </c>
      <c r="K10" s="194">
        <v>7</v>
      </c>
      <c r="L10" s="194">
        <v>27</v>
      </c>
      <c r="M10" s="194">
        <v>2</v>
      </c>
      <c r="N10" s="194">
        <v>4</v>
      </c>
      <c r="O10" s="194">
        <v>1</v>
      </c>
      <c r="P10" s="194">
        <v>0</v>
      </c>
      <c r="Q10" s="194">
        <v>0</v>
      </c>
      <c r="R10" s="194">
        <v>9</v>
      </c>
      <c r="S10" s="194">
        <v>18</v>
      </c>
      <c r="T10" s="194">
        <v>6</v>
      </c>
      <c r="U10" s="194">
        <v>4</v>
      </c>
      <c r="V10" s="194">
        <v>20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6</v>
      </c>
      <c r="BA10" s="139">
        <f t="shared" si="0"/>
        <v>4</v>
      </c>
      <c r="BB10" s="139">
        <f t="shared" si="0"/>
        <v>20</v>
      </c>
      <c r="BC10" s="135">
        <f t="shared" si="0"/>
        <v>4</v>
      </c>
      <c r="BD10" s="136">
        <f>IF(ISNUMBER(BA10/AZ10),BA10/AZ10," - ")</f>
        <v>0.66666666666666663</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2051</v>
      </c>
      <c r="J12" s="196">
        <v>729</v>
      </c>
      <c r="K12" s="196">
        <v>692</v>
      </c>
      <c r="L12" s="196">
        <v>2114</v>
      </c>
      <c r="M12" s="196">
        <v>180</v>
      </c>
      <c r="N12" s="196">
        <v>260</v>
      </c>
      <c r="O12" s="194">
        <v>298</v>
      </c>
      <c r="P12" s="196">
        <v>182</v>
      </c>
      <c r="Q12" s="196">
        <v>163</v>
      </c>
      <c r="R12" s="196">
        <v>4531</v>
      </c>
      <c r="S12" s="196">
        <v>1703</v>
      </c>
      <c r="T12" s="196">
        <v>653</v>
      </c>
      <c r="U12" s="196">
        <v>622</v>
      </c>
      <c r="V12" s="196">
        <v>1734</v>
      </c>
      <c r="W12" s="196">
        <v>130</v>
      </c>
      <c r="X12" s="202">
        <v>332</v>
      </c>
      <c r="Y12" s="204">
        <v>151</v>
      </c>
      <c r="Z12" s="194">
        <v>80</v>
      </c>
      <c r="AA12" s="194">
        <v>82</v>
      </c>
      <c r="AB12" s="194">
        <v>144</v>
      </c>
      <c r="AC12" s="196">
        <v>0</v>
      </c>
      <c r="AD12" s="196">
        <v>0</v>
      </c>
      <c r="AE12" s="196">
        <v>0</v>
      </c>
      <c r="AF12" s="202">
        <v>0</v>
      </c>
      <c r="AG12" s="215">
        <v>132</v>
      </c>
      <c r="AH12" s="196">
        <v>78</v>
      </c>
      <c r="AI12" s="196">
        <v>72</v>
      </c>
      <c r="AJ12" s="216">
        <v>138</v>
      </c>
      <c r="AK12" s="195">
        <v>0</v>
      </c>
      <c r="AL12" s="196">
        <v>0</v>
      </c>
      <c r="AM12" s="196">
        <v>0</v>
      </c>
      <c r="AN12" s="202">
        <v>0</v>
      </c>
      <c r="AO12" s="283">
        <v>4</v>
      </c>
      <c r="AP12" s="168">
        <v>4</v>
      </c>
      <c r="AQ12" s="168">
        <v>4</v>
      </c>
      <c r="AR12" s="167">
        <v>4</v>
      </c>
      <c r="AS12" s="381" t="s">
        <v>1075</v>
      </c>
      <c r="AT12" s="216"/>
      <c r="AU12" s="215"/>
      <c r="AV12" s="216"/>
      <c r="AW12" s="215"/>
      <c r="AX12" s="216"/>
      <c r="AY12" s="136">
        <f t="shared" si="1"/>
        <v>1835</v>
      </c>
      <c r="AZ12" s="137">
        <f t="shared" si="1"/>
        <v>731</v>
      </c>
      <c r="BA12" s="137">
        <f t="shared" si="1"/>
        <v>694</v>
      </c>
      <c r="BB12" s="137">
        <f t="shared" si="1"/>
        <v>1872</v>
      </c>
      <c r="BC12" s="135">
        <f>IF(ISNUMBER(X12),X12," - ")</f>
        <v>332</v>
      </c>
      <c r="BD12" s="136">
        <f t="shared" si="2"/>
        <v>0.94938440492476062</v>
      </c>
      <c r="BE12" s="137">
        <f t="shared" si="3"/>
        <v>2.6974063400576367</v>
      </c>
      <c r="BF12" s="137">
        <f t="shared" si="4"/>
        <v>0.47838616714697407</v>
      </c>
      <c r="BG12" s="209">
        <f t="shared" si="5"/>
        <v>3.6974063400576367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2075</v>
      </c>
      <c r="J14" s="197">
        <f t="shared" si="7"/>
        <v>739</v>
      </c>
      <c r="K14" s="197">
        <f t="shared" si="7"/>
        <v>699</v>
      </c>
      <c r="L14" s="197">
        <f t="shared" si="7"/>
        <v>2141</v>
      </c>
      <c r="M14" s="197">
        <f t="shared" si="7"/>
        <v>182</v>
      </c>
      <c r="N14" s="197">
        <f t="shared" si="7"/>
        <v>264</v>
      </c>
      <c r="O14" s="197">
        <f t="shared" si="7"/>
        <v>299</v>
      </c>
      <c r="P14" s="197">
        <f t="shared" si="7"/>
        <v>182</v>
      </c>
      <c r="Q14" s="197">
        <f t="shared" si="7"/>
        <v>163</v>
      </c>
      <c r="R14" s="197">
        <f t="shared" si="7"/>
        <v>4540</v>
      </c>
      <c r="S14" s="197">
        <f t="shared" si="7"/>
        <v>1721</v>
      </c>
      <c r="T14" s="197">
        <f t="shared" si="7"/>
        <v>659</v>
      </c>
      <c r="U14" s="197">
        <f t="shared" si="7"/>
        <v>626</v>
      </c>
      <c r="V14" s="197">
        <f t="shared" si="7"/>
        <v>1754</v>
      </c>
      <c r="W14" s="197">
        <f t="shared" si="7"/>
        <v>134</v>
      </c>
      <c r="X14" s="197">
        <f t="shared" si="7"/>
        <v>332</v>
      </c>
      <c r="Y14" s="197">
        <f t="shared" si="7"/>
        <v>151</v>
      </c>
      <c r="Z14" s="197">
        <f t="shared" si="7"/>
        <v>80</v>
      </c>
      <c r="AA14" s="197">
        <f t="shared" si="7"/>
        <v>82</v>
      </c>
      <c r="AB14" s="197">
        <f t="shared" si="7"/>
        <v>144</v>
      </c>
      <c r="AC14" s="197">
        <f t="shared" si="7"/>
        <v>0</v>
      </c>
      <c r="AD14" s="197">
        <f t="shared" si="7"/>
        <v>0</v>
      </c>
      <c r="AE14" s="197">
        <f t="shared" si="7"/>
        <v>0</v>
      </c>
      <c r="AF14" s="197">
        <f>SUBTOTAL(9,AF9:AF13)</f>
        <v>0</v>
      </c>
      <c r="AG14" s="197">
        <f t="shared" ref="AG14:AT14" si="8">SUBTOTAL(9,AG8:AG13)</f>
        <v>132</v>
      </c>
      <c r="AH14" s="197">
        <f t="shared" si="8"/>
        <v>78</v>
      </c>
      <c r="AI14" s="197">
        <f t="shared" si="8"/>
        <v>72</v>
      </c>
      <c r="AJ14" s="197">
        <f t="shared" si="8"/>
        <v>138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1853</v>
      </c>
      <c r="AZ14" s="197">
        <f>SUBTOTAL(9,AZ8:AZ13)</f>
        <v>737</v>
      </c>
      <c r="BA14" s="197">
        <f>SUBTOTAL(9,BA8:BA13)</f>
        <v>698</v>
      </c>
      <c r="BB14" s="197">
        <f>SUBTOTAL(9,BB8:BB13)</f>
        <v>1892</v>
      </c>
      <c r="BC14" s="197">
        <f>SUBTOTAL(9,BC8:BC13)</f>
        <v>336</v>
      </c>
      <c r="BD14" s="219">
        <f>IF(ISNUMBER(BA14/AZ14),BA14/AZ14," - ")</f>
        <v>0.94708276797829039</v>
      </c>
      <c r="BE14" s="220">
        <f>IF(ISNUMBER(BB14/BA14),BB14/BA14, " - ")</f>
        <v>2.7106017191977076</v>
      </c>
      <c r="BF14" s="220">
        <f>IF(ISNUMBER(BC14/BA14),BC14/BA14, " - ")</f>
        <v>0.48137535816618909</v>
      </c>
      <c r="BG14" s="221">
        <f>IF(ISNUMBER((AY14+AZ14)/BA14),(AY14+AZ14)/BA14," - ")</f>
        <v>3.7106017191977076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722</v>
      </c>
      <c r="J17" s="196">
        <v>912</v>
      </c>
      <c r="K17" s="196">
        <v>741</v>
      </c>
      <c r="L17" s="196">
        <v>905</v>
      </c>
      <c r="M17" s="196">
        <v>68</v>
      </c>
      <c r="N17" s="196">
        <v>519</v>
      </c>
      <c r="O17" s="194">
        <v>3</v>
      </c>
      <c r="P17" s="196">
        <v>23</v>
      </c>
      <c r="Q17" s="196">
        <v>37</v>
      </c>
      <c r="R17" s="196">
        <v>183</v>
      </c>
      <c r="S17" s="196">
        <v>736</v>
      </c>
      <c r="T17" s="196">
        <v>819</v>
      </c>
      <c r="U17" s="196">
        <v>748</v>
      </c>
      <c r="V17" s="196">
        <v>811</v>
      </c>
      <c r="W17" s="196">
        <v>66</v>
      </c>
      <c r="X17" s="202">
        <v>483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736</v>
      </c>
      <c r="AZ17" s="137">
        <f t="shared" si="10"/>
        <v>819</v>
      </c>
      <c r="BA17" s="137">
        <f t="shared" si="10"/>
        <v>748</v>
      </c>
      <c r="BB17" s="137">
        <f t="shared" si="10"/>
        <v>811</v>
      </c>
      <c r="BC17" s="135">
        <f>IF(ISNUMBER(W17),W17," - ")</f>
        <v>66</v>
      </c>
      <c r="BD17" s="136">
        <f t="shared" ref="BD17:BD22" si="12">IF(ISNUMBER(BA17/AZ17),BA17/AZ17," - ")</f>
        <v>0.91330891330891328</v>
      </c>
      <c r="BE17" s="137">
        <f t="shared" ref="BE17:BE22" si="13">IF(ISNUMBER(BB17/BA17),BB17/BA17, " - ")</f>
        <v>1.0842245989304813</v>
      </c>
      <c r="BF17" s="137">
        <f t="shared" ref="BF17:BF22" si="14">IF(ISNUMBER(BC17/BA17),BC17/BA17, " - ")</f>
        <v>8.8235294117647065E-2</v>
      </c>
      <c r="BG17" s="209">
        <f t="shared" si="11"/>
        <v>2.0788770053475938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137</v>
      </c>
      <c r="J18" s="196">
        <v>112</v>
      </c>
      <c r="K18" s="196">
        <v>102</v>
      </c>
      <c r="L18" s="196">
        <v>147</v>
      </c>
      <c r="M18" s="196">
        <v>5</v>
      </c>
      <c r="N18" s="196">
        <v>57</v>
      </c>
      <c r="O18" s="196">
        <v>0</v>
      </c>
      <c r="P18" s="196">
        <v>0</v>
      </c>
      <c r="Q18" s="196">
        <v>0</v>
      </c>
      <c r="R18" s="196">
        <v>0</v>
      </c>
      <c r="S18" s="196">
        <v>152</v>
      </c>
      <c r="T18" s="196">
        <v>100</v>
      </c>
      <c r="U18" s="196">
        <v>103</v>
      </c>
      <c r="V18" s="196">
        <v>149</v>
      </c>
      <c r="W18" s="196">
        <v>10</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152</v>
      </c>
      <c r="AZ18" s="139">
        <f t="shared" si="15"/>
        <v>100</v>
      </c>
      <c r="BA18" s="139">
        <f t="shared" si="15"/>
        <v>103</v>
      </c>
      <c r="BB18" s="139">
        <f t="shared" si="15"/>
        <v>149</v>
      </c>
      <c r="BC18" s="135">
        <f>IF(ISNUMBER(W18),W18," - ")</f>
        <v>10</v>
      </c>
      <c r="BD18" s="136">
        <f>IF(ISNUMBER(BA18/AZ18),BA18/AZ18," - ")</f>
        <v>1.03</v>
      </c>
      <c r="BE18" s="137">
        <f>IF(ISNUMBER(BB18/BA18),BB18/BA18, " - ")</f>
        <v>1.4466019417475728</v>
      </c>
      <c r="BF18" s="137">
        <f>IF(ISNUMBER(BC18/BA18),BC18/BA18, " - ")</f>
        <v>9.7087378640776698E-2</v>
      </c>
      <c r="BG18" s="209">
        <f>IF(ISNUMBER((AY18+AZ18)/BA18),(AY18+AZ18)/BA18," - ")</f>
        <v>2.4466019417475726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859</v>
      </c>
      <c r="J23" s="197">
        <f t="shared" si="21"/>
        <v>1024</v>
      </c>
      <c r="K23" s="197">
        <f t="shared" si="21"/>
        <v>843</v>
      </c>
      <c r="L23" s="197">
        <f t="shared" si="21"/>
        <v>1052</v>
      </c>
      <c r="M23" s="197">
        <f t="shared" si="21"/>
        <v>73</v>
      </c>
      <c r="N23" s="197">
        <f t="shared" si="21"/>
        <v>576</v>
      </c>
      <c r="O23" s="197">
        <f t="shared" si="21"/>
        <v>3</v>
      </c>
      <c r="P23" s="197">
        <f t="shared" si="21"/>
        <v>23</v>
      </c>
      <c r="Q23" s="197">
        <f t="shared" si="21"/>
        <v>37</v>
      </c>
      <c r="R23" s="197">
        <f t="shared" si="21"/>
        <v>183</v>
      </c>
      <c r="S23" s="197">
        <f t="shared" si="21"/>
        <v>888</v>
      </c>
      <c r="T23" s="197">
        <f t="shared" si="21"/>
        <v>919</v>
      </c>
      <c r="U23" s="197">
        <f t="shared" si="21"/>
        <v>851</v>
      </c>
      <c r="V23" s="197">
        <f t="shared" si="21"/>
        <v>960</v>
      </c>
      <c r="W23" s="197">
        <f t="shared" si="21"/>
        <v>76</v>
      </c>
      <c r="X23" s="197">
        <f t="shared" si="21"/>
        <v>560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888</v>
      </c>
      <c r="AZ23" s="197">
        <f>SUBTOTAL(9,AZ15:AZ22)</f>
        <v>919</v>
      </c>
      <c r="BA23" s="197">
        <f>SUBTOTAL(9,BA15:BA22)</f>
        <v>851</v>
      </c>
      <c r="BB23" s="197">
        <f>SUBTOTAL(9,BB15:BB22)</f>
        <v>960</v>
      </c>
      <c r="BC23" s="197">
        <f>SUBTOTAL(9,BC15:BC22)</f>
        <v>76</v>
      </c>
      <c r="BD23" s="219">
        <f>IF(ISNUMBER(BA23/AZ23),BA23/AZ23," - ")</f>
        <v>0.92600652883569101</v>
      </c>
      <c r="BE23" s="220">
        <f>IF(ISNUMBER(BB23/BA23),BB23/BA23, " - ")</f>
        <v>1.1280846063454759</v>
      </c>
      <c r="BF23" s="220">
        <f>IF(ISNUMBER(BC23/BA23),BC23/BA23, " - ")</f>
        <v>8.9306698002350179E-2</v>
      </c>
      <c r="BG23" s="221">
        <f>IF(ISNUMBER((AY23+AZ23)/BA23),(AY23+AZ23)/BA23," - ")</f>
        <v>2.1233842538190366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2934</v>
      </c>
      <c r="J31" s="144">
        <f t="shared" si="36"/>
        <v>1763</v>
      </c>
      <c r="K31" s="144">
        <f t="shared" si="36"/>
        <v>1542</v>
      </c>
      <c r="L31" s="144">
        <f t="shared" si="36"/>
        <v>3193</v>
      </c>
      <c r="M31" s="144">
        <f t="shared" si="36"/>
        <v>255</v>
      </c>
      <c r="N31" s="144">
        <f t="shared" si="36"/>
        <v>840</v>
      </c>
      <c r="O31" s="144">
        <f t="shared" si="36"/>
        <v>302</v>
      </c>
      <c r="P31" s="144">
        <f t="shared" si="36"/>
        <v>205</v>
      </c>
      <c r="Q31" s="144">
        <f t="shared" si="36"/>
        <v>200</v>
      </c>
      <c r="R31" s="144">
        <f t="shared" si="36"/>
        <v>4723</v>
      </c>
      <c r="S31" s="144">
        <f t="shared" si="36"/>
        <v>2609</v>
      </c>
      <c r="T31" s="144">
        <f t="shared" si="36"/>
        <v>1578</v>
      </c>
      <c r="U31" s="144">
        <f t="shared" si="36"/>
        <v>1477</v>
      </c>
      <c r="V31" s="144">
        <f t="shared" si="36"/>
        <v>2714</v>
      </c>
      <c r="W31" s="144">
        <f t="shared" si="36"/>
        <v>210</v>
      </c>
      <c r="X31" s="144">
        <f t="shared" si="36"/>
        <v>892</v>
      </c>
      <c r="Y31" s="144">
        <f t="shared" si="36"/>
        <v>151</v>
      </c>
      <c r="Z31" s="144">
        <f t="shared" si="36"/>
        <v>80</v>
      </c>
      <c r="AA31" s="144">
        <f t="shared" si="36"/>
        <v>82</v>
      </c>
      <c r="AB31" s="144">
        <f t="shared" si="36"/>
        <v>144</v>
      </c>
      <c r="AC31" s="144">
        <f t="shared" si="36"/>
        <v>0</v>
      </c>
      <c r="AD31" s="144">
        <f t="shared" si="36"/>
        <v>0</v>
      </c>
      <c r="AE31" s="144">
        <f t="shared" si="36"/>
        <v>0</v>
      </c>
      <c r="AF31" s="144">
        <f t="shared" si="36"/>
        <v>0</v>
      </c>
      <c r="AG31" s="144">
        <f t="shared" si="36"/>
        <v>132</v>
      </c>
      <c r="AH31" s="144">
        <f t="shared" si="36"/>
        <v>78</v>
      </c>
      <c r="AI31" s="144">
        <f t="shared" si="36"/>
        <v>72</v>
      </c>
      <c r="AJ31" s="144">
        <f t="shared" si="36"/>
        <v>138</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2741</v>
      </c>
      <c r="AZ31" s="144">
        <f>SUBTOTAL(9,AZ9:AZ30)</f>
        <v>1656</v>
      </c>
      <c r="BA31" s="144">
        <f>SUBTOTAL(9,BA9:BA30)</f>
        <v>1549</v>
      </c>
      <c r="BB31" s="144">
        <f>SUBTOTAL(9,BB9:BB30)</f>
        <v>2852</v>
      </c>
      <c r="BC31" s="145">
        <f>SUBTOTAL(9,BC9:BC30)</f>
        <v>412</v>
      </c>
      <c r="BD31" s="227">
        <f>IF(ISNUMBER(BA31/AZ31),BA31/AZ31," - ")</f>
        <v>0.93538647342995174</v>
      </c>
      <c r="BE31" s="224">
        <f>IF(ISNUMBER(BB31/BA31),BB31/BA31, " - ")</f>
        <v>1.841187863137508</v>
      </c>
      <c r="BF31" s="224">
        <f>IF(ISNUMBER(BC31/BA31),BC31/BA31, " - ")</f>
        <v>0.26597805035506777</v>
      </c>
      <c r="BG31" s="145">
        <f>IF(ISNUMBER((AY31+AZ31)/BA31),(AY31+AZ31)/BA31," - ")</f>
        <v>2.8386055519690121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Yu3LbVxaq8GPdcxDTgRip/FWZGHWdvf9LWZukWz6BS7WCYFatJtzB0bf7EjTMkVGexbEm6sHqlTwGdd7JCLUQ==" saltValue="kEJ5Lp+suSU9r/MB+39n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llISspaetL5PbFFmt/f/ou4KrcT0zbabVvghFRd+cs7h1VY3XJv0kzv2ZILBww3E64T9KqpohJaUL5BYLY1ww==" saltValue="y/OhGQHn6zBtM4cmOS05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MONCADA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27</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7.7142857142857144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182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144</v>
      </c>
      <c r="AI12" s="549" t="str">
        <f>IF(ISNUMBER(Datos!CD12),Datos!CD12,"-")</f>
        <v>-</v>
      </c>
      <c r="AJ12" s="549" t="str">
        <f>IF(ISNUMBER(Datos!EN12),Datos!EN12," - ")</f>
        <v xml:space="preserve"> - </v>
      </c>
      <c r="AK12" s="549"/>
      <c r="AL12" s="550"/>
      <c r="AM12" s="766">
        <f>IF(ISNUMBER(Datos!R12),Datos!R12," - ")</f>
        <v>4531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180</v>
      </c>
      <c r="BD12" s="693">
        <f>IF(ISNUMBER(Datos!N12),Datos!N12," - ")</f>
        <v>260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0.95673671199011123</v>
      </c>
      <c r="BH12" s="764">
        <f>IF(ISNUMBER(((IF(J_V="SI",Datos!L12/Datos!K12,(Datos!L12+Datos!AB12)/(Datos!K12+Datos!AA12)))*11)/factor_trimestre),((IF(J_V="SI",Datos!L12/Datos!K12,(Datos!L12+Datos!AB12)/(Datos!K12+Datos!AA12)))*11)/factor_trimestre," - ")</f>
        <v>5.8346253229974163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4.2109929078014184E-3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182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163</v>
      </c>
      <c r="AD14" s="1198">
        <f t="shared" si="2"/>
        <v>0</v>
      </c>
      <c r="AE14" s="1198">
        <f t="shared" si="2"/>
        <v>0</v>
      </c>
      <c r="AF14" s="1198">
        <f t="shared" si="2"/>
        <v>27</v>
      </c>
      <c r="AG14" s="1198">
        <f t="shared" si="2"/>
        <v>0</v>
      </c>
      <c r="AH14" s="1198">
        <f t="shared" si="2"/>
        <v>144</v>
      </c>
      <c r="AI14" s="1198">
        <f t="shared" si="2"/>
        <v>0</v>
      </c>
      <c r="AJ14" s="1198">
        <f t="shared" si="2"/>
        <v>0</v>
      </c>
      <c r="AK14" s="1198">
        <f t="shared" si="2"/>
        <v>0</v>
      </c>
      <c r="AL14" s="1198">
        <f t="shared" si="2"/>
        <v>0</v>
      </c>
      <c r="AM14" s="1198">
        <f t="shared" si="2"/>
        <v>4540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v>
      </c>
      <c r="BD14" s="1198">
        <f t="shared" si="2"/>
        <v>264</v>
      </c>
      <c r="BE14" s="1198">
        <f t="shared" si="2"/>
        <v>0</v>
      </c>
      <c r="BF14" s="1198">
        <f t="shared" si="2"/>
        <v>0</v>
      </c>
      <c r="BG14" s="1198">
        <f>IF(ISNUMBER(Datos!K14/Datos!J14),Datos!K14/Datos!J14," - ")</f>
        <v>0.94587280108254401</v>
      </c>
      <c r="BH14" s="1202">
        <f>IF(ISNUMBER(((Datos!L14/Datos!K14)*11)/factor_trimestre),((Datos!L14/Datos!K14)*11)/factor_trimestre," - ")</f>
        <v>6.1258941344778259</v>
      </c>
      <c r="BI14" s="1198">
        <f>IF(ISNUMBER('Resol  Asuntos'!D14/NºAsuntos!G14),'Resol  Asuntos'!D14/NºAsuntos!G14," - ")</f>
        <v>0.23303457106274009</v>
      </c>
      <c r="BJ14" s="1198" t="str">
        <f>IF(ISNUMBER(Datos!CI14/Datos!CJ14),Datos!CI14/Datos!CJ14," - ")</f>
        <v xml:space="preserve"> - </v>
      </c>
      <c r="BK14" s="1198">
        <f>SUBTOTAL(9,BK8:BK13)</f>
        <v>0</v>
      </c>
      <c r="BL14" s="1198">
        <f>IF(ISNUMBER((I14-AB14+L14)/(F14)),(I14-AB14+L14)/(F14)," - ")</f>
        <v>-0.29166666666666669</v>
      </c>
      <c r="BM14" s="1203">
        <f>SUBTOTAL(9,BM9:BM13)</f>
        <v>4.2109929078014184E-3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734</v>
      </c>
      <c r="G17" s="743">
        <f>IF(ISNUMBER(IF(D_I="SI",Datos!I17,Datos!I17+Datos!AC17)),IF(D_I="SI",Datos!I17,Datos!I17+Datos!AC17)," - ")</f>
        <v>722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741</v>
      </c>
      <c r="AC17" s="240">
        <f>IF(ISNUMBER(Datos!Q17),Datos!Q17," - ")</f>
        <v>37</v>
      </c>
      <c r="AD17" s="374"/>
      <c r="AE17" s="562"/>
      <c r="AF17" s="741">
        <f>IF(ISNUMBER(IF(D_I="SI",Datos!L17,Datos!L17+Datos!AF17)),IF(D_I="SI",Datos!L17,Datos!L17+Datos!AF17)," - ")</f>
        <v>905</v>
      </c>
      <c r="AG17" s="374"/>
      <c r="AH17" s="374"/>
      <c r="AI17" s="374"/>
      <c r="AJ17" s="549"/>
      <c r="AK17" s="374"/>
      <c r="AL17" s="545"/>
      <c r="AM17" s="375">
        <f>IF(ISNUMBER(Datos!R17),Datos!R17," - ")</f>
        <v>183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519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0.8125</v>
      </c>
      <c r="BH17" s="764">
        <f>IF(ISNUMBER(((IF(D_I="SI",Datos!L17/Datos!K17,(Datos!L17+Datos!AF17)/(Datos!K17+Datos!AE17)))*11)/factor_trimestre),((IF(D_I="SI",Datos!L17/Datos!K17,(Datos!L17+Datos!AF17)/(Datos!K17+Datos!AE17)))*11)/factor_trimestre," - ")</f>
        <v>2.4426450742240218</v>
      </c>
      <c r="BI17" s="266">
        <f>IF(ISNUMBER('Resol  Asuntos'!D17/NºAsuntos!G17),'Resol  Asuntos'!D17/NºAsuntos!G17," - ")</f>
        <v>9.1767881241565458E-2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147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0.9107142857142857</v>
      </c>
      <c r="BH18" s="764">
        <f>IF(ISNUMBER(((IF(D_I="SI",Datos!L18/Datos!K18,(Datos!L18+Datos!AF18)/(Datos!K18+Datos!AE18)))*11)/factor_trimestre),((IF(D_I="SI",Datos!L18/Datos!K18,(Datos!L18+Datos!AF18)/(Datos!K18+Datos!AE18)))*11)/factor_trimestre," - ")</f>
        <v>2.8823529411764706</v>
      </c>
      <c r="BI18" s="763">
        <f>IF(ISNUMBER('Resol  Asuntos'!D18/NºAsuntos!G18),'Resol  Asuntos'!D18/NºAsuntos!G18," - ")</f>
        <v>4.9019607843137254E-2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734</v>
      </c>
      <c r="G23" s="1197">
        <f>SUBTOTAL(9,G16:G22)</f>
        <v>859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843</v>
      </c>
      <c r="AC23" s="1198">
        <f t="shared" si="5"/>
        <v>37</v>
      </c>
      <c r="AD23" s="1198">
        <f t="shared" si="5"/>
        <v>0</v>
      </c>
      <c r="AE23" s="1198">
        <f t="shared" si="5"/>
        <v>0</v>
      </c>
      <c r="AF23" s="1198">
        <f t="shared" si="5"/>
        <v>1052</v>
      </c>
      <c r="AG23" s="1198">
        <f t="shared" si="5"/>
        <v>0</v>
      </c>
      <c r="AH23" s="1198">
        <f t="shared" si="5"/>
        <v>0</v>
      </c>
      <c r="AI23" s="1198">
        <f t="shared" si="5"/>
        <v>0</v>
      </c>
      <c r="AJ23" s="1198">
        <f t="shared" si="5"/>
        <v>0</v>
      </c>
      <c r="AK23" s="1198">
        <f t="shared" si="5"/>
        <v>0</v>
      </c>
      <c r="AL23" s="1198">
        <f t="shared" si="5"/>
        <v>0</v>
      </c>
      <c r="AM23" s="1198">
        <f t="shared" si="5"/>
        <v>183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576</v>
      </c>
      <c r="BE23" s="1198">
        <f t="shared" si="5"/>
        <v>0</v>
      </c>
      <c r="BF23" s="1198">
        <f t="shared" si="5"/>
        <v>0</v>
      </c>
      <c r="BG23" s="1198">
        <f>IF(ISNUMBER(Datos!K23/Datos!J23),Datos!K23/Datos!J23," - ")</f>
        <v>0.8232421875</v>
      </c>
      <c r="BH23" s="1202">
        <f>IF(ISNUMBER(((Datos!L23/Datos!K23)*11)/factor_trimestre),((Datos!L23/Datos!K23)*11)/factor_trimestre," - ")</f>
        <v>2.4958481613285883</v>
      </c>
      <c r="BI23" s="1198">
        <f>SUBTOTAL(9,BI16:BI22)</f>
        <v>0.1407874890847027</v>
      </c>
      <c r="BJ23" s="1198">
        <f>SUBTOTAL(9,BJ16:BJ22)</f>
        <v>0</v>
      </c>
      <c r="BK23" s="1198">
        <f>SUBTOTAL(9,BK16:BK22)</f>
        <v>0</v>
      </c>
      <c r="BL23" s="1198">
        <f>IF(ISNUMBER((I23-AB23+L23)/(F23)),(I23-AB23+L23)/(F23)," - ")</f>
        <v>-1.1485013623978202</v>
      </c>
      <c r="BM23" s="1205">
        <f>IF(ISNUMBER((Datos!P23-Datos!Q23)/(Datos!R23-Datos!P23+Datos!Q23)),(Datos!P23-Datos!Q23)/(Datos!R23-Datos!P23+Datos!Q23)," - ")</f>
        <v>-7.1065989847715741E-2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758</v>
      </c>
      <c r="G31" s="1117">
        <f t="shared" si="18"/>
        <v>883</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850</v>
      </c>
      <c r="AC31" s="1118">
        <f t="shared" si="19"/>
        <v>200</v>
      </c>
      <c r="AD31" s="1118">
        <f t="shared" si="19"/>
        <v>0</v>
      </c>
      <c r="AE31" s="1118">
        <f t="shared" si="19"/>
        <v>0</v>
      </c>
      <c r="AF31" s="1125">
        <f t="shared" si="19"/>
        <v>1079</v>
      </c>
      <c r="AG31" s="1125">
        <f t="shared" si="19"/>
        <v>0</v>
      </c>
      <c r="AH31" s="1125">
        <f t="shared" si="19"/>
        <v>144</v>
      </c>
      <c r="AI31" s="1125">
        <f t="shared" si="19"/>
        <v>0</v>
      </c>
      <c r="AJ31" s="1118">
        <f t="shared" si="19"/>
        <v>0</v>
      </c>
      <c r="AK31" s="1125">
        <f t="shared" si="19"/>
        <v>0</v>
      </c>
      <c r="AL31" s="1125">
        <f t="shared" si="19"/>
        <v>0</v>
      </c>
      <c r="AM31" s="1125">
        <f t="shared" si="19"/>
        <v>4723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255</v>
      </c>
      <c r="BD31" s="1117">
        <f t="shared" si="19"/>
        <v>840</v>
      </c>
      <c r="BE31" s="1117">
        <f t="shared" si="19"/>
        <v>0</v>
      </c>
      <c r="BF31" s="1127">
        <f t="shared" si="19"/>
        <v>0</v>
      </c>
      <c r="BG31" s="1223">
        <f>IF(ISNUMBER(Datos!K31/Datos!J31),Datos!K31/Datos!J31," - ")</f>
        <v>0.87464549064095287</v>
      </c>
      <c r="BH31" s="1223">
        <f>IF(ISNUMBER(((Datos!L31/Datos!K31)*11)/factor_trimestre),((Datos!L31/Datos!K31)*11)/factor_trimestre," - ")</f>
        <v>4.1413748378728927</v>
      </c>
      <c r="BI31" s="1103">
        <f>IF(ISNUMBER(Datos!J31/Datos!I31),Datos!J31/Datos!I31," - ")</f>
        <v>0.60088616223585545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-1.1213720316622691</v>
      </c>
      <c r="BM31" s="1188">
        <f>IF(ISNUMBER((Datos!P31-Datos!Q31+R31)/(Datos!R31-Datos!P31+Datos!Q31-R31)),(Datos!P31-Datos!Q31+R31)/(Datos!R31-Datos!P31+Datos!Q31-R31)," - ")</f>
        <v>1.0597710894446799E-3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372.99365499518444</v>
      </c>
      <c r="G33" s="674">
        <f>IF(ISNUMBER(STDEV(G8:G30)),STDEV(G8:G30),"-")</f>
        <v>372.72631348203038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378.01562074047882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78.370457261831589</v>
      </c>
      <c r="BD33" s="673"/>
      <c r="BE33" s="673">
        <f>IF(ISNUMBER(STDEV(BE8:BE30)),STDEV(BE8:BE30),"-")</f>
        <v>0</v>
      </c>
      <c r="BF33" s="678">
        <f>IF(ISNUMBER(STDEV(BF8:BF30)),STDEV(BF8:BF30),"-")</f>
        <v>0</v>
      </c>
      <c r="BG33" s="1052">
        <f>IF(ISNUMBER(STDEV(BG8:BG30)),STDEV(BG8:BG30),"-")</f>
        <v>9.8479977178174166E-2</v>
      </c>
      <c r="BH33" s="1058">
        <f>IF(ISNUMBER(STDEV(BH8:BH30)),STDEV(BH8:BH30),"-")</f>
        <v>2.2619266119461834</v>
      </c>
      <c r="BI33" s="273">
        <f>IF(ISNUMBER(STDEV(BI8:BI30)),STDEV(BI8:BI30),"-")</f>
        <v>7.9045867135487821E-2</v>
      </c>
      <c r="BJ33" s="244" t="str">
        <f>IF(ISNUMBER(BL33/BM33),BL33/BM33," - ")</f>
        <v xml:space="preserve"> - </v>
      </c>
      <c r="BK33" s="709"/>
      <c r="BL33" s="681">
        <f>IF(ISNUMBER(STDEV(BL8:BL30)),STDEV(BL8:BL30),"-")</f>
        <v>0.60587362370741071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2/NBFkYjgKC8y56Nm27vUGsMkg4sDVWYULwG4k7P6J8abyJAIFB9DzZV5kP+b2uTpgTush/LeQU0R5TOOFOHw==" saltValue="70WmNO6V5tD/BWhbApO0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MONCADA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27</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163</v>
      </c>
      <c r="AA12" s="551" t="str">
        <f>IF(ISNUMBER(IF(J_V="SI",Datos!L12,Datos!L12+Datos!AB12)-IF(Monitorios="SI",Datos!CD12,0)),
                          IF(J_V="SI",Datos!L12,Datos!L12+Datos!AB12)-IF(Monitorios="SI",Datos!CD12,0),
                          " - ")</f>
        <v xml:space="preserve"> - </v>
      </c>
      <c r="AB12" s="549"/>
      <c r="AC12" s="549"/>
      <c r="AD12" s="563"/>
      <c r="AE12" s="563">
        <f>IF(ISNUMBER(Datos!R12),Datos!R12," - ")</f>
        <v>4531</v>
      </c>
      <c r="AF12" s="693" t="str">
        <f>IF(ISNUMBER(Datos!BV12),Datos!BV12," - ")</f>
        <v xml:space="preserve"> - </v>
      </c>
      <c r="AG12" s="552" t="str">
        <f>IF(ISNUMBER(Datos!DV12),Datos!DV12," - ")</f>
        <v xml:space="preserve"> - </v>
      </c>
      <c r="AH12" s="553"/>
      <c r="AI12" s="554"/>
      <c r="AJ12" s="552">
        <f>IF(ISNUMBER(Datos!M12),Datos!M12," - ")</f>
        <v>180</v>
      </c>
      <c r="AK12" s="693">
        <f>IF(ISNUMBER(Datos!N12),Datos!N12," - ")</f>
        <v>260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5.8346253229974163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4.2109929078014184E-3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182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163</v>
      </c>
      <c r="AA14" s="1199">
        <f t="shared" si="3"/>
        <v>27</v>
      </c>
      <c r="AB14" s="1199">
        <f t="shared" si="3"/>
        <v>0</v>
      </c>
      <c r="AC14" s="1199">
        <f t="shared" si="3"/>
        <v>0</v>
      </c>
      <c r="AD14" s="1199">
        <f t="shared" si="3"/>
        <v>0</v>
      </c>
      <c r="AE14" s="1199">
        <f t="shared" si="3"/>
        <v>4540</v>
      </c>
      <c r="AF14" s="1211">
        <f t="shared" si="3"/>
        <v>0</v>
      </c>
      <c r="AG14" s="1211">
        <f t="shared" si="3"/>
        <v>0</v>
      </c>
      <c r="AH14" s="1211">
        <f t="shared" si="3"/>
        <v>0</v>
      </c>
      <c r="AI14" s="1211">
        <f t="shared" si="3"/>
        <v>0</v>
      </c>
      <c r="AJ14" s="1211">
        <f t="shared" si="3"/>
        <v>182</v>
      </c>
      <c r="AK14" s="1211">
        <f t="shared" si="3"/>
        <v>264</v>
      </c>
      <c r="AL14" s="1211">
        <f t="shared" si="3"/>
        <v>0</v>
      </c>
      <c r="AM14" s="1211">
        <f t="shared" si="3"/>
        <v>0</v>
      </c>
      <c r="AN14" s="1211">
        <f t="shared" si="3"/>
        <v>0</v>
      </c>
      <c r="AO14" s="1203">
        <f>IF(ISNUMBER(((NºAsuntos!I14/NºAsuntos!G14)*11)/factor_trimestre),((NºAsuntos!I14/NºAsuntos!G14)*11)/factor_trimestre," - ")</f>
        <v>5.8514724711907808</v>
      </c>
      <c r="AP14" s="1213" t="str">
        <f>IF(ISNUMBER(Datos!CI14/Datos!CJ14),Datos!CI14/Datos!CJ14," - ")</f>
        <v xml:space="preserve"> - </v>
      </c>
      <c r="AQ14" s="1236">
        <f t="shared" ref="AQ14:AV14" si="4">SUBTOTAL(9,AQ9:AQ13)</f>
        <v>0</v>
      </c>
      <c r="AR14" s="1236">
        <f t="shared" si="4"/>
        <v>4.2109929078014184E-3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734</v>
      </c>
      <c r="G17" s="552">
        <f>IF(ISNUMBER(IF(D_I="SI",Datos!I17,Datos!I17+Datos!AC17)),IF(D_I="SI",Datos!I17,Datos!I17+Datos!AC17)," - ")</f>
        <v>722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741</v>
      </c>
      <c r="Z17" s="805">
        <f>IF(ISNUMBER(Datos!Q17),Datos!Q17," - ")</f>
        <v>37</v>
      </c>
      <c r="AA17" s="551">
        <f>IF(ISNUMBER(IF(D_I="SI",Datos!L17,Datos!L17+Datos!AF17)),IF(D_I="SI",Datos!L17,Datos!L17+Datos!AF17)," - ")</f>
        <v>905</v>
      </c>
      <c r="AB17" s="549"/>
      <c r="AC17" s="549"/>
      <c r="AD17" s="563"/>
      <c r="AE17" s="563">
        <f>IF(ISNUMBER(Datos!R17),Datos!R17," - ")</f>
        <v>183</v>
      </c>
      <c r="AF17" s="693" t="str">
        <f>IF(ISNUMBER(Datos!BV17),Datos!BV17," - ")</f>
        <v xml:space="preserve"> - </v>
      </c>
      <c r="AG17" s="552"/>
      <c r="AH17" s="553"/>
      <c r="AI17" s="554"/>
      <c r="AJ17" s="552">
        <f>IF(ISNUMBER(Datos!M17),Datos!M17," - ")</f>
        <v>68</v>
      </c>
      <c r="AK17" s="693">
        <f>IF(ISNUMBER(Datos!N17),Datos!N17," - ")</f>
        <v>519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2.4426450742240218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147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2.8823529411764706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734</v>
      </c>
      <c r="G23" s="1197">
        <f>SUBTOTAL(9,G16:G22)</f>
        <v>859</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843</v>
      </c>
      <c r="Z23" s="1240">
        <f t="shared" si="6"/>
        <v>37</v>
      </c>
      <c r="AA23" s="1240">
        <f t="shared" si="6"/>
        <v>1052</v>
      </c>
      <c r="AB23" s="1240">
        <f t="shared" si="6"/>
        <v>0</v>
      </c>
      <c r="AC23" s="1240">
        <f t="shared" si="6"/>
        <v>0</v>
      </c>
      <c r="AD23" s="1240">
        <f t="shared" si="6"/>
        <v>0</v>
      </c>
      <c r="AE23" s="1240">
        <f t="shared" si="6"/>
        <v>183</v>
      </c>
      <c r="AF23" s="1240">
        <f t="shared" si="6"/>
        <v>0</v>
      </c>
      <c r="AG23" s="1240">
        <f t="shared" si="6"/>
        <v>0</v>
      </c>
      <c r="AH23" s="1240">
        <f t="shared" si="6"/>
        <v>0</v>
      </c>
      <c r="AI23" s="1240">
        <f t="shared" si="6"/>
        <v>0</v>
      </c>
      <c r="AJ23" s="1240">
        <f t="shared" si="6"/>
        <v>73</v>
      </c>
      <c r="AK23" s="1240">
        <f t="shared" si="6"/>
        <v>576</v>
      </c>
      <c r="AL23" s="1240">
        <f t="shared" si="6"/>
        <v>0</v>
      </c>
      <c r="AM23" s="1240">
        <f t="shared" si="6"/>
        <v>0</v>
      </c>
      <c r="AN23" s="1240">
        <f t="shared" si="6"/>
        <v>0</v>
      </c>
      <c r="AO23" s="1242">
        <f>IF(ISNUMBER(((NºAsuntos!I23/NºAsuntos!G23)*11)/factor_trimestre),((NºAsuntos!I23/NºAsuntos!G23)*11)/factor_trimestre," - ")</f>
        <v>2.4958481613285883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758</v>
      </c>
      <c r="G31" s="1117">
        <f t="shared" si="12"/>
        <v>883</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850</v>
      </c>
      <c r="Z31" s="1124">
        <f t="shared" si="13"/>
        <v>200</v>
      </c>
      <c r="AA31" s="1125">
        <f t="shared" si="13"/>
        <v>1079</v>
      </c>
      <c r="AB31" s="1125">
        <f t="shared" si="13"/>
        <v>0</v>
      </c>
      <c r="AC31" s="1125">
        <f t="shared" si="13"/>
        <v>0</v>
      </c>
      <c r="AD31" s="1126">
        <f t="shared" si="13"/>
        <v>0</v>
      </c>
      <c r="AE31" s="1126">
        <f t="shared" si="13"/>
        <v>4723</v>
      </c>
      <c r="AF31" s="1127">
        <f t="shared" si="13"/>
        <v>0</v>
      </c>
      <c r="AG31" s="1128">
        <f t="shared" si="13"/>
        <v>0</v>
      </c>
      <c r="AH31" s="1129">
        <f t="shared" si="13"/>
        <v>0</v>
      </c>
      <c r="AI31" s="1127">
        <f t="shared" si="13"/>
        <v>0</v>
      </c>
      <c r="AJ31" s="1117">
        <f t="shared" si="13"/>
        <v>255</v>
      </c>
      <c r="AK31" s="1117">
        <f t="shared" si="13"/>
        <v>840</v>
      </c>
      <c r="AL31" s="1117">
        <f t="shared" si="13"/>
        <v>0</v>
      </c>
      <c r="AM31" s="1130">
        <f t="shared" si="13"/>
        <v>0</v>
      </c>
      <c r="AN31" s="1120">
        <f>IF(ISNUMBER(Datos!K31/Datos!J31),Datos!K31/Datos!J31," - ")</f>
        <v>0.87464549064095287</v>
      </c>
      <c r="AO31" s="1120">
        <f>IF(ISNUMBER(FIND("06",Criterios!A8,1)),(IF(ISNUMBER(((Datos!R31/Datos!Q31)*11)/factor_trimestre),((Datos!R31/Datos!Q31)*11)/factor_trimestre," - ")),(IF(ISNUMBER(((Datos!L31/Datos!K31)*11)/factor_trimestre),((Datos!L31/Datos!K31)*11)/factor_trimestre," - ")))</f>
        <v>4.1413748378728927</v>
      </c>
      <c r="AP31" s="1131" t="str">
        <f>IF(ISNUMBER(Datos!CI31/Datos!CJ31),Datos!CI31/Datos!CJ31," - ")</f>
        <v xml:space="preserve"> - </v>
      </c>
      <c r="AQ31" s="1131">
        <f>IF(OR(ISNUMBER(FIND("01",Criterios!A8,1)),ISNUMBER(FIND("02",Criterios!A8,1)),ISNUMBER(FIND("03",Criterios!A8,1)),ISNUMBER(FIND("04",Criterios!A8,1))),(J31-Y31+K31)/(F31-K31),(I31-Y31+K31)/(F31-K31))</f>
        <v>-1.1213720316622691</v>
      </c>
      <c r="AR31" s="1131">
        <f>IF(ISNUMBER((Datos!P31-Datos!Q31+O31)/(Datos!R31-Datos!P31+Datos!Q31-O31)),(Datos!P31-Datos!Q31+O31)/(Datos!R31-Datos!P31+Datos!Q31-O31)," - ")</f>
        <v>1.0597710894446799E-3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372.99365499518444</v>
      </c>
      <c r="G33" s="674">
        <f>IF(ISNUMBER(STDEV(G8:G30)),STDEV(G8:G30),"-")</f>
        <v>372.72631348203038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78.370457261831589</v>
      </c>
      <c r="AK33" s="276"/>
      <c r="AL33" s="276">
        <f>IF(ISNUMBER(STDEV(AL8:AL30)),STDEV(AL8:AL30),"-")</f>
        <v>0</v>
      </c>
      <c r="AM33" s="278">
        <f>IF(ISNUMBER(STDEV(AM8:AM30)),STDEV(AM8:AM30),"-")</f>
        <v>0</v>
      </c>
      <c r="AN33" s="660">
        <f>IF(ISNUMBER(STDEV(AN8:AN30)),STDEV(AN8:AN30),"-")</f>
        <v>0</v>
      </c>
      <c r="AO33" s="661">
        <f>IF(ISNUMBER(STDEV(AO8:AO30)),STDEV(AO8:AO30),"-")</f>
        <v>2.226984240654446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azLabXyWbScayXyf/kShEkXhvBInSO7xdJr4BGZbpSh1Z5X+bDWwcDL7RMKJjusjqJTpYBNrOmzgVoAZxlWhg==" saltValue="8dJNIMZBRAxqv0n5Y5xV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LkVSJnl1mXAn0OGrEjTfWJ2qwYPrEvF05V18vfeL8ODWW00ErxCMUDcyQ3wwwGd7LI4RW6ux/K2k0SgajjCA==" saltValue="6CpiVnQR61spJHSAeSwT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htb77X0QIEPeaMbpBBHakKPVlIB3rXl+7jq9Oj2hEI8dyXKv7TpHqgtXolhnuHdkY4YDtJYtX4FlNwMoDXbfA==" saltValue="kIDqDsXIVoAzSF/HNuW3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MONCADA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0.23303457106274009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0.16478032544936191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PTdjveC3Go2YcW8PsaSAG56o+Bq4DhBkYJdX7h6jMCkzyDaoDt0n5wyXmR6eccARIINpKV5s8CHwfCClGkt6g==" saltValue="fKl/X3A3wrmDKESOJ4re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OFR7nHfWNJHExVZ0Giv4ao7UahM2lDfgRsnAvCksYxrE3hV/tI3i0XgMuFO0TVMr2+mhVOL6AbMeogSnIE6dg==" saltValue="k0qmv12ZPwQWdDzKJ2iA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MONCADA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10</v>
      </c>
      <c r="F10" s="452">
        <f>IF(ISNUMBER(E10/B10),E10/B10," - ")</f>
        <v>10</v>
      </c>
      <c r="G10" s="451">
        <f>IF(ISNUMBER(Datos!K10),Datos!K10," - ")</f>
        <v>7</v>
      </c>
      <c r="H10" s="452">
        <f>IF(ISNUMBER(G10/B10),G10/B10," - ")</f>
        <v>7</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2202</v>
      </c>
      <c r="D12" s="452">
        <f>IF(ISNUMBER(C12/Datos!BH12),C12/Datos!BH12," - ")</f>
        <v>550.5</v>
      </c>
      <c r="E12" s="451">
        <f>IF(ISNUMBER(IF(J_V="SI",Datos!J12,Datos!J12+Datos!Z12)),IF(J_V="SI",Datos!J12,Datos!J12+Datos!Z12)," - ")</f>
        <v>809</v>
      </c>
      <c r="F12" s="452">
        <f>IF(ISNUMBER(E12/B12),E12/B12," - ")</f>
        <v>202.25</v>
      </c>
      <c r="G12" s="451">
        <f>IF(ISNUMBER(IF(J_V="SI",Datos!K12,Datos!K12+Datos!AA12)),IF(J_V="SI",Datos!K12,Datos!K12+Datos!AA12)," - ")</f>
        <v>774</v>
      </c>
      <c r="H12" s="452">
        <f>IF(ISNUMBER(G12/B12),G12/B12," - ")</f>
        <v>193.5</v>
      </c>
      <c r="I12" s="451">
        <f>IF(ISNUMBER(IF(J_V="SI",Datos!L12,Datos!L12+Datos!AB12)),IF(J_V="SI",Datos!L12,Datos!L12+Datos!AB12)," - ")</f>
        <v>2258</v>
      </c>
      <c r="J12" s="452">
        <f>IF(ISNUMBER(I12/B12),I12/B12," - ")</f>
        <v>564.5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2226</v>
      </c>
      <c r="D14" s="1147" t="str">
        <f>IF(ISNUMBER(C14/Datos!BI14),C14/Datos!BI14," - ")</f>
        <v xml:space="preserve"> - </v>
      </c>
      <c r="E14" s="1146">
        <f>SUBTOTAL(9,E8:E13)</f>
        <v>819</v>
      </c>
      <c r="F14" s="1147">
        <f>IF(ISNUMBER(E14/B14),E14/B14," - ")</f>
        <v>204.75</v>
      </c>
      <c r="G14" s="1146">
        <f>SUBTOTAL(9,G8:G13)</f>
        <v>781</v>
      </c>
      <c r="H14" s="1147">
        <f>IF(ISNUMBER(G14/B14),G14/B14," - ")</f>
        <v>195.25</v>
      </c>
      <c r="I14" s="1146">
        <f>SUBTOTAL(9,I8:I13)</f>
        <v>2285</v>
      </c>
      <c r="J14" s="1147">
        <f>IF(ISNUMBER(I14/B14),I14/B14," - ")</f>
        <v>571.25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722</v>
      </c>
      <c r="D17" s="452">
        <f>IF(ISNUMBER(C17/Datos!BH17),C17/Datos!BH17," - ")</f>
        <v>180.5</v>
      </c>
      <c r="E17" s="451">
        <f>IF(ISNUMBER(IF(D_I="SI",Datos!J17,Datos!J17+Datos!AD17)),IF(D_I="SI",Datos!J17,Datos!J17+Datos!AD17)," - ")</f>
        <v>912</v>
      </c>
      <c r="F17" s="452">
        <f>IF(ISNUMBER(E17/B17),E17/B17," - ")</f>
        <v>228</v>
      </c>
      <c r="G17" s="451">
        <f>IF(ISNUMBER(IF(D_I="SI",Datos!K17,Datos!K17+Datos!AE17)),IF(D_I="SI",Datos!K17,Datos!K17+Datos!AE17)," - ")</f>
        <v>741</v>
      </c>
      <c r="H17" s="452">
        <f>IF(ISNUMBER(G17/B17),G17/B17," - ")</f>
        <v>185.25</v>
      </c>
      <c r="I17" s="451">
        <f>IF(ISNUMBER(IF(D_I="SI",Datos!L17,Datos!L17+Datos!AF17)),IF(D_I="SI",Datos!L17,Datos!L17+Datos!AF17)," - ")</f>
        <v>905</v>
      </c>
      <c r="J17" s="452">
        <f>IF(ISNUMBER(I17/B17),I17/B17," - ")</f>
        <v>226.25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137</v>
      </c>
      <c r="D18" s="452">
        <f>IF(ISNUMBER(C18/Datos!BH18),C18/Datos!BH18," - ")</f>
        <v>137</v>
      </c>
      <c r="E18" s="451">
        <f>IF(ISNUMBER(IF(D_I="SI",Datos!J18,Datos!J18+Datos!AD18)),IF(D_I="SI",Datos!J18,Datos!J18+Datos!AD18)," - ")</f>
        <v>112</v>
      </c>
      <c r="F18" s="452">
        <f>IF(ISNUMBER(E18/B18),E18/B18," - ")</f>
        <v>112</v>
      </c>
      <c r="G18" s="451">
        <f>IF(ISNUMBER(IF(D_I="SI",Datos!K18,Datos!K18+Datos!AE18)),IF(D_I="SI",Datos!K18,Datos!K18+Datos!AE18)," - ")</f>
        <v>102</v>
      </c>
      <c r="H18" s="452">
        <f>IF(ISNUMBER(G18/B18),G18/B18," - ")</f>
        <v>102</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859</v>
      </c>
      <c r="D23" s="1147" t="str">
        <f>IF(ISNUMBER(C23/Datos!BI23),C23/Datos!BI23," - ")</f>
        <v xml:space="preserve"> - </v>
      </c>
      <c r="E23" s="1146">
        <f>SUBTOTAL(9,E15:E22)</f>
        <v>1024</v>
      </c>
      <c r="F23" s="1147">
        <f>IF(ISNUMBER(E23/B23),E23/B23," - ")</f>
        <v>256</v>
      </c>
      <c r="G23" s="1146">
        <f>SUBTOTAL(9,G15:G22)</f>
        <v>843</v>
      </c>
      <c r="H23" s="1147">
        <f>IF(ISNUMBER(G23/B23),G23/B23," - ")</f>
        <v>210.75</v>
      </c>
      <c r="I23" s="1146">
        <f>SUBTOTAL(9,I15:I22)</f>
        <v>1052</v>
      </c>
      <c r="J23" s="1147">
        <f>IF(ISNUMBER(I23/B23),I23/B23," - ")</f>
        <v>263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3085</v>
      </c>
      <c r="D31" s="1085" t="str">
        <f>IF(ISNUMBER(C31/Datos!BI31),C31/Datos!BI31," - ")</f>
        <v xml:space="preserve"> - </v>
      </c>
      <c r="E31" s="1084">
        <f>SUBTOTAL(9,E9:E30)</f>
        <v>1843</v>
      </c>
      <c r="F31" s="1085">
        <f>IF(ISNUMBER(E31/B31),E31/B31," - ")</f>
        <v>460.75</v>
      </c>
      <c r="G31" s="1084">
        <f>SUBTOTAL(9,G9:G30)</f>
        <v>1624</v>
      </c>
      <c r="H31" s="1085">
        <f>IF(ISNUMBER(G31/B31),G31/B31," - ")</f>
        <v>406</v>
      </c>
      <c r="I31" s="1084">
        <f>SUBTOTAL(9,I9:I30)</f>
        <v>3337</v>
      </c>
      <c r="J31" s="1085">
        <f>IF(ISNUMBER(I31/B31),I31/B31," - ")</f>
        <v>834.25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Cj1KfhE2UuNpLtjXofgF5KwU5f7or21oFRdvSbo7ym7fx2E+yuSgLJU/ptSyizx9hTMYsp9Ta91a/1hQg0SrA==" saltValue="C/8rRGAj/W7iKPIbLx9A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MONCADA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180</v>
      </c>
      <c r="AM12" s="914">
        <f>IF(ISNUMBER(Datos!N12+DatosP!N17),Datos!N12+DatosP!N17," - ")</f>
        <v>260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5.8346253229974163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4.2109929078014184E-3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182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163</v>
      </c>
      <c r="AE14" s="1257">
        <f t="shared" si="1"/>
        <v>0</v>
      </c>
      <c r="AF14" s="1257">
        <f t="shared" si="1"/>
        <v>27</v>
      </c>
      <c r="AG14" s="1257">
        <f t="shared" si="1"/>
        <v>0</v>
      </c>
      <c r="AH14" s="1257">
        <f t="shared" si="1"/>
        <v>4531</v>
      </c>
      <c r="AI14" s="1257">
        <f t="shared" si="1"/>
        <v>0</v>
      </c>
      <c r="AJ14" s="1257">
        <f t="shared" si="1"/>
        <v>0</v>
      </c>
      <c r="AK14" s="1257">
        <f t="shared" si="1"/>
        <v>0</v>
      </c>
      <c r="AL14" s="1257">
        <f t="shared" si="1"/>
        <v>182</v>
      </c>
      <c r="AM14" s="1257">
        <f t="shared" si="1"/>
        <v>264</v>
      </c>
      <c r="AN14" s="1257">
        <f t="shared" si="1"/>
        <v>0</v>
      </c>
      <c r="AO14" s="1257">
        <f t="shared" si="1"/>
        <v>0</v>
      </c>
      <c r="AP14" s="1262">
        <f>IF(ISNUMBER(((Datos!L14/Datos!K14)*11)/factor_trimestre),((Datos!L14/Datos!K14)*11)/factor_trimestre," - ")</f>
        <v>6.1258941344778259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-0.29166666666666669</v>
      </c>
      <c r="AU14" s="1257" t="str">
        <f>IF(ISNUMBER((DatosP!#REF!-DatosP!#REF!+DatosP!#REF!)/(DatosP!#REF!+DatosP!#REF!-DatosP!#REF!-DatosP!#REF!)),(DatosP!#REF!-DatosP!#REF!+DatosP!#REF!)/(DatosP!#REF!+DatosP!#REF!-DatosP!#REF!-DatosP!#REF!)," - ")</f>
        <v xml:space="preserve"> - </v>
      </c>
      <c r="AV14" s="1263">
        <f>SUBTOTAL(9,AV9:AV13)</f>
        <v>4.2109929078014184E-3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2.4958481613285883</v>
      </c>
      <c r="AQ23" s="1262">
        <f>IF(ISNUMBER(((Datos!M23/Datos!L23)*11)/factor_trimestre),((Datos!M23/Datos!L23)*11)/factor_trimestre," - ")</f>
        <v>0.13878326996197718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-7.1065989847715741E-2</v>
      </c>
      <c r="AW23" s="1265">
        <f>IF(ISNUMBER((Datos!Q23-Datos!R23)/(Datos!S23-Datos!Q23+Datos!R23)),(Datos!Q23-Datos!R23)/(Datos!S23-Datos!Q23+Datos!R23)," - ")</f>
        <v>-0.14119922630560927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182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163</v>
      </c>
      <c r="AE31" s="1284">
        <f t="shared" si="9"/>
        <v>0</v>
      </c>
      <c r="AF31" s="1285">
        <f t="shared" si="9"/>
        <v>27</v>
      </c>
      <c r="AG31" s="1285">
        <f t="shared" si="9"/>
        <v>0</v>
      </c>
      <c r="AH31" s="1285">
        <f t="shared" si="9"/>
        <v>4531</v>
      </c>
      <c r="AI31" s="1285">
        <f t="shared" si="9"/>
        <v>0</v>
      </c>
      <c r="AJ31" s="1286">
        <f t="shared" si="9"/>
        <v>0</v>
      </c>
      <c r="AK31" s="1286">
        <f t="shared" si="9"/>
        <v>0</v>
      </c>
      <c r="AL31" s="1278">
        <f t="shared" si="9"/>
        <v>182</v>
      </c>
      <c r="AM31" s="1278">
        <f t="shared" si="9"/>
        <v>264</v>
      </c>
      <c r="AN31" s="1278">
        <f t="shared" si="9"/>
        <v>0</v>
      </c>
      <c r="AO31" s="1278">
        <f t="shared" si="9"/>
        <v>0</v>
      </c>
      <c r="AP31" s="1278">
        <f>IF(ISNUMBER(((Datos!L31/Datos!K31)*11)/factor_trimestre),((Datos!L31/Datos!K31)*11)/factor_trimestre," - ")</f>
        <v>4.1413748378728927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-0.29166666666666669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1.0597710894446799E-3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93.215163287239193</v>
      </c>
      <c r="AM33" s="1006"/>
      <c r="AN33" s="1006">
        <f>IF(ISNUMBER(STDEV(AN8:AN30)),STDEV(AN8:AN30),"-")</f>
        <v>0</v>
      </c>
      <c r="AO33" s="1012">
        <f>IF(ISNUMBER(STDEV(AO8:AO30)),STDEV(AO8:AO30),"-")</f>
        <v>0</v>
      </c>
      <c r="AP33" s="1065">
        <f>IF(ISNUMBER(STDEV(AP8:AP30)),STDEV(AP8:AP30),"-")</f>
        <v>2.1927476240722767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LvMUxcY78bnoIMv9tpQ8jfDqUvZiVxQeFomSX4jLatxOzm3UYqgSCibQU9tnNyac8xjJq1j51sc73IlbjzsHw==" saltValue="BmXZR1FrQBrBk/3uG/O/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MONCADA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xmzRRiA0mtmhTQdqT+glb0bLQvAHkkbG1w431xwIPJh/gYMt/c1eEq7BvEQe6KrPsYvMiog4XyA8zWXW7Mq2Q==" saltValue="WvPCJSI7RgGkhDqwxRf1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MONCADA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180</v>
      </c>
      <c r="E12" s="452">
        <f t="shared" si="0"/>
        <v>45</v>
      </c>
      <c r="F12" s="451">
        <f>IF(ISNUMBER(Datos!N12),Datos!N12," - ")</f>
        <v>260</v>
      </c>
      <c r="G12" s="452">
        <f t="shared" si="1"/>
        <v>65</v>
      </c>
      <c r="H12" s="451">
        <f>IF(ISNUMBER(Datos!O12),Datos!O12," - ")</f>
        <v>298</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182</v>
      </c>
      <c r="E14" s="1147">
        <f t="shared" si="0"/>
        <v>36.4</v>
      </c>
      <c r="F14" s="1146">
        <f>SUBTOTAL(9,F9:F13)</f>
        <v>264</v>
      </c>
      <c r="G14" s="1147">
        <f t="shared" si="1"/>
        <v>52.8</v>
      </c>
      <c r="H14" s="1146">
        <f>SUBTOTAL(9,H9:H13)</f>
        <v>299</v>
      </c>
      <c r="I14" s="1147">
        <f>IF(ISNUMBER(H14/B14),H14/B14," - ")</f>
        <v>59.8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68</v>
      </c>
      <c r="E17" s="452">
        <f t="shared" si="3"/>
        <v>17</v>
      </c>
      <c r="F17" s="451">
        <f>IF(ISNUMBER(Datos!N17),Datos!N17," - ")</f>
        <v>519</v>
      </c>
      <c r="G17" s="452">
        <f t="shared" si="4"/>
        <v>129.75</v>
      </c>
      <c r="H17" s="451">
        <f>IF(ISNUMBER(Datos!O17),Datos!O17," - ")</f>
        <v>3</v>
      </c>
      <c r="I17" s="452">
        <f t="shared" si="5"/>
        <v>0.75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73</v>
      </c>
      <c r="E23" s="1147">
        <f t="shared" si="3"/>
        <v>14.6</v>
      </c>
      <c r="F23" s="1146">
        <f>SUBTOTAL(9,F16:F22)</f>
        <v>576</v>
      </c>
      <c r="G23" s="1147">
        <f t="shared" si="4"/>
        <v>115.2</v>
      </c>
      <c r="H23" s="1146">
        <f>SUBTOTAL(9,H16:H22)</f>
        <v>3</v>
      </c>
      <c r="I23" s="1147">
        <f>IF(ISNUMBER(H23/B23),H23/B23," - ")</f>
        <v>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255</v>
      </c>
      <c r="E31" s="1085">
        <f>IF(ISNUMBER(D31/B31),D31/B31," - ")</f>
        <v>63.75</v>
      </c>
      <c r="F31" s="1084">
        <f>SUBTOTAL(9,F8:F30)</f>
        <v>840</v>
      </c>
      <c r="G31" s="1085">
        <f>IF(ISNUMBER(F31/B31),F31/B31," - ")</f>
        <v>210</v>
      </c>
      <c r="H31" s="1084">
        <f>SUBTOTAL(9,H8:H30)</f>
        <v>302</v>
      </c>
      <c r="I31" s="1085">
        <f>IF(ISNUMBER(H31/B31),H31/B31," - ")</f>
        <v>75.5</v>
      </c>
    </row>
    <row r="34" spans="1:1">
      <c r="A34" s="439" t="str">
        <f>Criterios!A4</f>
        <v>Fecha Informe: 06 may. 2023</v>
      </c>
    </row>
    <row r="39" spans="1:1">
      <c r="A39" s="462"/>
    </row>
  </sheetData>
  <sheetProtection algorithmName="SHA-512" hashValue="+2Vc941nZ/BnIwOwraLGLQ1E51jNcZthD5ZB84XTearL+PPVIPWmmlLjCgJLZ3inglgXFAKAJI5i+qV3OFE4Eg==" saltValue="QeO1mCUuopKzpPynpe6X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MONCADA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182</v>
      </c>
      <c r="C12" s="489">
        <f>IF(ISNUMBER(Datos!Q12),Datos!Q12," - ")</f>
        <v>163</v>
      </c>
      <c r="D12" s="456">
        <f>IF(ISNUMBER(Datos!R12),Datos!R12," - ")</f>
        <v>4531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182</v>
      </c>
      <c r="C14" s="1150">
        <f>SUBTOTAL(9,C9:C13)</f>
        <v>163</v>
      </c>
      <c r="D14" s="1148">
        <f>SUBTOTAL(9,D9:D13)</f>
        <v>4540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37</v>
      </c>
      <c r="D17" s="456">
        <f>IF(ISNUMBER(Datos!R17),Datos!R17," - ")</f>
        <v>183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37</v>
      </c>
      <c r="D23" s="1148">
        <f>SUBTOTAL(9,D16:D22)</f>
        <v>183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200</v>
      </c>
      <c r="D31" s="1090">
        <f>SUBTOTAL(9,D8:D30)</f>
        <v>4723</v>
      </c>
    </row>
    <row r="32" spans="1:4" ht="7.5" customHeight="1"/>
    <row r="33" spans="1:1" ht="6" customHeight="1"/>
    <row r="34" spans="1:1">
      <c r="A34" s="439" t="str">
        <f>Criterios!A4</f>
        <v>Fecha Informe: 06 may. 2023</v>
      </c>
    </row>
    <row r="39" spans="1:1">
      <c r="A39" s="462"/>
    </row>
  </sheetData>
  <sheetProtection algorithmName="SHA-512" hashValue="Ohyo80cAU7RFB0VKFwWSpRKLNURVQ/Acn27ZIYEoSUqACDDh7hznZOF7E7Fo5gPZ4n7xdYDUzMGlhazfzFq+7A==" saltValue="g1zFF+5Ow1+WXQDMjEeP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MONCADA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0.66666666666666663</v>
      </c>
      <c r="D10" s="515">
        <f>IF(ISNUMBER((Datos!K10-Datos!U10)/Datos!U10),(Datos!K10-Datos!U10)/Datos!U10," - ")</f>
        <v>0.75</v>
      </c>
      <c r="E10" s="515">
        <f>IF(ISNUMBER((Datos!L10-Datos!V10)/Datos!V10),(Datos!L10-Datos!V10)/Datos!V10," - ")</f>
        <v>0.35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4.9999999999999989E-2</v>
      </c>
      <c r="I10" s="515">
        <f>IF(ISNUMBER(((NºAsuntos!I10/NºAsuntos!G10)-Datos!BE10)/Datos!BE10),((NºAsuntos!I10/NºAsuntos!G10)-Datos!BE10)/Datos!BE10," - ")</f>
        <v>-0.22857142857142856</v>
      </c>
      <c r="J10" s="521">
        <f>IF(ISNUMBER((('Resol  Asuntos'!D10/NºAsuntos!G10)-Datos!BF10)/Datos!BF10),(('Resol  Asuntos'!D10/NºAsuntos!G10)-Datos!BF10)/Datos!BF10," - ")</f>
        <v>-0.7142857142857143</v>
      </c>
      <c r="K10" s="522">
        <f>IF(ISNUMBER((((NºAsuntos!C10+NºAsuntos!E10)/NºAsuntos!G10)-Datos!BG10)/Datos!BG10),(((NºAsuntos!C10+NºAsuntos!E10)/NºAsuntos!G10)-Datos!BG10)/Datos!BG10," - ")</f>
        <v>-0.19047619047619055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v>
      </c>
      <c r="C12" s="515">
        <f>IF(ISNUMBER(
   IF(J_V="SI",(Datos!J12-Datos!T12)/Datos!T12,(Datos!J12+Datos!Z12-(Datos!T12+Datos!AH12))/(Datos!T12+Datos!AH12))
     ),IF(J_V="SI",(Datos!J12-Datos!T12)/Datos!T12,(Datos!J12+Datos!Z12-(Datos!T12+Datos!AH12))/(Datos!T12+Datos!AH12))," - ")</f>
        <v>0.106703146374829</v>
      </c>
      <c r="D12" s="515">
        <f>IF(ISNUMBER(
   IF(J_V="SI",(Datos!K12-Datos!U12)/Datos!U12,(Datos!K12+Datos!AA12-(Datos!U12+Datos!AI12))/(Datos!U12+Datos!AI12))
     ),IF(J_V="SI",(Datos!K12-Datos!U12)/Datos!U12,(Datos!K12+Datos!AA12-(Datos!U12+Datos!AI12))/(Datos!U12+Datos!AI12))," - ")</f>
        <v>0.11527377521613832</v>
      </c>
      <c r="E12" s="515">
        <f>IF(ISNUMBER(
   IF(J_V="SI",(Datos!L12-Datos!V12)/Datos!V12,(Datos!L12+Datos!AB12-(Datos!V12+Datos!AJ12))/(Datos!V12+Datos!AJ12))
     ),IF(J_V="SI",(Datos!L12-Datos!V12)/Datos!V12,(Datos!L12+Datos!AB12-(Datos!V12+Datos!AJ12))/(Datos!V12+Datos!AJ12))," - ")</f>
        <v>0.20619658119658119</v>
      </c>
      <c r="F12" s="515">
        <f>IF(ISNUMBER((Datos!M12-Datos!W12)/Datos!W12),(Datos!M12-Datos!W12)/Datos!W12," - ")</f>
        <v>0.38461538461538464</v>
      </c>
      <c r="G12" s="516">
        <f>IF(ISNUMBER((Datos!N12-Datos!X12)/Datos!X12),(Datos!N12-Datos!X12)/Datos!X12," - ")</f>
        <v>-0.21686746987951808</v>
      </c>
      <c r="H12" s="514">
        <f>IF(ISNUMBER(((NºAsuntos!G12/NºAsuntos!E12)-Datos!BD12)/Datos!BD12),((NºAsuntos!G12/NºAsuntos!E12)-Datos!BD12)/Datos!BD12," - ")</f>
        <v>7.7442888541373201E-3</v>
      </c>
      <c r="I12" s="515">
        <f>IF(ISNUMBER(((NºAsuntos!I12/NºAsuntos!G12)-Datos!BE12)/Datos!BE12),((NºAsuntos!I12/NºAsuntos!G12)-Datos!BE12)/Datos!BE12," - ")</f>
        <v>8.1525099935952791E-2</v>
      </c>
      <c r="J12" s="521">
        <f>IF(ISNUMBER((('Resol  Asuntos'!D12/NºAsuntos!G12)-Datos!BF12)/Datos!BF12),(('Resol  Asuntos'!D12/NºAsuntos!G12)-Datos!BF12)/Datos!BF12," - ")</f>
        <v>-0.51386943121322504</v>
      </c>
      <c r="K12" s="522">
        <f>IF(ISNUMBER((((NºAsuntos!C12+NºAsuntos!E12)/NºAsuntos!G12)-Datos!BG12)/Datos!BG12),(((NºAsuntos!C12+NºAsuntos!E12)/NºAsuntos!G12)-Datos!BG12)/Datos!BG12," - ")</f>
        <v>5.2137774635916796E-2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0.20129519697787371</v>
      </c>
      <c r="C14" s="1152">
        <f>IF(ISNUMBER(
   IF(J_V="SI",(Datos!J14-Datos!T14)/Datos!T14,(Datos!J14+Datos!Z14-(Datos!T14+Datos!AH14))/(Datos!T14+Datos!AH14))
     ),IF(J_V="SI",(Datos!J14-Datos!T14)/Datos!T14,(Datos!J14+Datos!Z14-(Datos!T14+Datos!AH14))/(Datos!T14+Datos!AH14))," - ")</f>
        <v>0.1112618724559023</v>
      </c>
      <c r="D14" s="1152">
        <f>IF(ISNUMBER(
   IF(J_V="SI",(Datos!K14-Datos!U14)/Datos!U14,(Datos!K14+Datos!AA14-(Datos!U14+Datos!AI14))/(Datos!U14+Datos!AI14))
     ),IF(J_V="SI",(Datos!K14-Datos!U14)/Datos!U14,(Datos!K14+Datos!AA14-(Datos!U14+Datos!AI14))/(Datos!U14+Datos!AI14))," - ")</f>
        <v>0.11891117478510028</v>
      </c>
      <c r="E14" s="1152">
        <f>IF(ISNUMBER(
   IF(J_V="SI",(Datos!L14-Datos!V14)/Datos!V14,(Datos!L14+Datos!AB14-(Datos!V14+Datos!AJ14))/(Datos!V14+Datos!AJ14))
     ),IF(J_V="SI",(Datos!L14-Datos!V14)/Datos!V14,(Datos!L14+Datos!AB14-(Datos!V14+Datos!AJ14))/(Datos!V14+Datos!AJ14))," - ")</f>
        <v>0.20771670190274841</v>
      </c>
      <c r="F14" s="1153">
        <f>IF(ISNUMBER((Datos!M14-Datos!W14)/Datos!W14),(Datos!M14-Datos!W14)/Datos!W14," - ")</f>
        <v>0.35820895522388058</v>
      </c>
      <c r="G14" s="1154">
        <f>IF(ISNUMBER((Datos!N14-Datos!X14)/Datos!X14),(Datos!N14-Datos!X14)/Datos!X14," - ")</f>
        <v>-0.20481927710843373</v>
      </c>
      <c r="H14" s="1154">
        <f>IF(ISNUMBER(((NºAsuntos!G14/NºAsuntos!E14)-Datos!BD14)/Datos!BD14),((NºAsuntos!G14/NºAsuntos!E14)-Datos!BD14)/Datos!BD14," - ")</f>
        <v>6.883438115529843E-3</v>
      </c>
      <c r="I14" s="1154">
        <f>IF(ISNUMBER(((NºAsuntos!I14/NºAsuntos!G14)-Datos!BE14)/Datos!BE14),((NºAsuntos!I14/NºAsuntos!G14)-Datos!BE14)/Datos!BE14," - ")</f>
        <v>7.9367807846502422E-2</v>
      </c>
      <c r="J14" s="1154">
        <f>IF(ISNUMBER((('Resol  Asuntos'!D14/NºAsuntos!G14)-Datos!BF14)/Datos!BF14),(('Resol  Asuntos'!D14/NºAsuntos!G14)-Datos!BF14)/Datos!BF14," - ")</f>
        <v>-0.51589842082799831</v>
      </c>
      <c r="K14" s="1154">
        <f>IF(ISNUMBER((((NºAsuntos!C14+NºAsuntos!E14)/NºAsuntos!G14)-Datos!BG14)/Datos!BG14),(((NºAsuntos!C14+NºAsuntos!E14)/NºAsuntos!G14)-Datos!BG14)/Datos!BG14," - ")</f>
        <v>5.0731909886839448E-2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-1.9021739130434784E-2</v>
      </c>
      <c r="C17" s="515">
        <f>IF(ISNUMBER(
   IF(D_I="SI",(Datos!J17-Datos!T17)/Datos!T17,(Datos!J17+Datos!AD17-(Datos!T17+Datos!AL17))/(Datos!T17+Datos!AL17))
     ),IF(D_I="SI",(Datos!J17-Datos!T17)/Datos!T17,(Datos!J17+Datos!AD17-(Datos!T17+Datos!AL17))/(Datos!T17+Datos!AL17))," - ")</f>
        <v>0.11355311355311355</v>
      </c>
      <c r="D17" s="515">
        <f>IF(ISNUMBER(
   IF(D_I="SI",(Datos!K17-Datos!U17)/Datos!U17,(Datos!K17+Datos!AE17-(Datos!U17+Datos!AM17))/(Datos!U17+Datos!AM17))
     ),IF(D_I="SI",(Datos!K17-Datos!U17)/Datos!U17,(Datos!K17+Datos!AE17-(Datos!U17+Datos!AM17))/(Datos!U17+Datos!AM17))," - ")</f>
        <v>-9.3582887700534752E-3</v>
      </c>
      <c r="E17" s="515">
        <f>IF(ISNUMBER(
   IF(D_I="SI",(Datos!L17-Datos!V17)/Datos!V17,(Datos!L17+Datos!AF17-(Datos!V17+Datos!AN17))/(Datos!V17+Datos!AN17))
     ),IF(D_I="SI",(Datos!L17-Datos!V17)/Datos!V17,(Datos!L17+Datos!AF17-(Datos!V17+Datos!AN17))/(Datos!V17+Datos!AN17))," - ")</f>
        <v>0.11590628853267571</v>
      </c>
      <c r="F17" s="515">
        <f>IF(ISNUMBER((Datos!M17-Datos!W17)/Datos!W17),(Datos!M17-Datos!W17)/Datos!W17," - ")</f>
        <v>3.0303030303030304E-2</v>
      </c>
      <c r="G17" s="516">
        <f>IF(ISNUMBER((Datos!N17-Datos!X17)/Datos!X17),(Datos!N17-Datos!X17)/Datos!X17," - ")</f>
        <v>7.4534161490683232E-2</v>
      </c>
      <c r="H17" s="514">
        <f>IF(ISNUMBER(((NºAsuntos!G17/NºAsuntos!E17)-Datos!BD17)/Datos!BD17),((NºAsuntos!G17/NºAsuntos!E17)-Datos!BD17)/Datos!BD17," - ")</f>
        <v>-0.11037767379679142</v>
      </c>
      <c r="I17" s="515">
        <f>IF(ISNUMBER(((NºAsuntos!I17/NºAsuntos!G17)-Datos!BE17)/Datos!BE17),((NºAsuntos!I17/NºAsuntos!G17)-Datos!BE17)/Datos!BE17," - ")</f>
        <v>0.12644791339060929</v>
      </c>
      <c r="J17" s="521">
        <f>IF(ISNUMBER((('Resol  Asuntos'!D17/NºAsuntos!G17)-Datos!BF17)/Datos!BF17),(('Resol  Asuntos'!D17/NºAsuntos!G17)-Datos!BF17)/Datos!BF17," - ")</f>
        <v>4.0035987404408453E-2</v>
      </c>
      <c r="K17" s="522">
        <f>IF(ISNUMBER((((NºAsuntos!C17+NºAsuntos!E17)/NºAsuntos!G17)-Datos!BG17)/Datos!BG17),(((NºAsuntos!C17+NºAsuntos!E17)/NºAsuntos!G17)-Datos!BG17)/Datos!BG17," - ")</f>
        <v>6.0730480666171954E-2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-9.8684210526315791E-2</v>
      </c>
      <c r="C18" s="515">
        <f>IF(ISNUMBER(
   IF(D_I="SI",(Datos!J18-Datos!T18)/Datos!T18,(Datos!J18+Datos!AD18-(Datos!T18+Datos!AL18))/(Datos!T18+Datos!AL18))
     ),IF(D_I="SI",(Datos!J18-Datos!T18)/Datos!T18,(Datos!J18+Datos!AD18-(Datos!T18+Datos!AL18))/(Datos!T18+Datos!AL18))," - ")</f>
        <v>0.12</v>
      </c>
      <c r="D18" s="515">
        <f>IF(ISNUMBER(
   IF(D_I="SI",(Datos!K18-Datos!U18)/Datos!U18,(Datos!K18+Datos!AE18-(Datos!U18+Datos!AM18))/(Datos!U18+Datos!AM18))
     ),IF(D_I="SI",(Datos!K18-Datos!U18)/Datos!U18,(Datos!K18+Datos!AE18-(Datos!U18+Datos!AM18))/(Datos!U18+Datos!AM18))," - ")</f>
        <v>-9.7087378640776691E-3</v>
      </c>
      <c r="E18" s="515">
        <f>IF(ISNUMBER(
   IF(D_I="SI",(Datos!L18-Datos!V18)/Datos!V18,(Datos!L18+Datos!AF18-(Datos!V18+Datos!AN18))/(Datos!V18+Datos!AN18))
     ),IF(D_I="SI",(Datos!L18-Datos!V18)/Datos!V18,(Datos!L18+Datos!AF18-(Datos!V18+Datos!AN18))/(Datos!V18+Datos!AN18))," - ")</f>
        <v>-1.3422818791946308E-2</v>
      </c>
      <c r="F18" s="515">
        <f>IF(ISNUMBER((Datos!M18-Datos!W18)/Datos!W18),(Datos!M18-Datos!W18)/Datos!W18," - ")</f>
        <v>-0.5</v>
      </c>
      <c r="G18" s="516">
        <f>IF(ISNUMBER((Datos!N18-Datos!X18)/Datos!X18),(Datos!N18-Datos!X18)/Datos!X18," - ")</f>
        <v>-0.25974025974025972</v>
      </c>
      <c r="H18" s="514">
        <f>IF(ISNUMBER(((NºAsuntos!G18/NºAsuntos!E18)-Datos!BD18)/Datos!BD18),((NºAsuntos!G18/NºAsuntos!E18)-Datos!BD18)/Datos!BD18," - ")</f>
        <v>-0.11581137309292652</v>
      </c>
      <c r="I18" s="515">
        <f>IF(ISNUMBER(((NºAsuntos!I18/NºAsuntos!G18)-Datos!BE18)/Datos!BE18),((NºAsuntos!I18/NºAsuntos!G18)-Datos!BE18)/Datos!BE18," - ")</f>
        <v>-3.7504934859850232E-3</v>
      </c>
      <c r="J18" s="521">
        <f>IF(ISNUMBER((('Resol  Asuntos'!D18/NºAsuntos!G18)-Datos!BF18)/Datos!BF18),(('Resol  Asuntos'!D18/NºAsuntos!G18)-Datos!BF18)/Datos!BF18," - ")</f>
        <v>-0.49509803921568629</v>
      </c>
      <c r="K18" s="522">
        <f>IF(ISNUMBER((((NºAsuntos!C18+NºAsuntos!E18)/NºAsuntos!G18)-Datos!BG18)/Datos!BG18),(((NºAsuntos!C18+NºAsuntos!E18)/NºAsuntos!G18)-Datos!BG18)/Datos!BG18," - ")</f>
        <v>-2.2175536881417573E-3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-3.2657657657657657E-2</v>
      </c>
      <c r="C23" s="1152">
        <f>IF(ISNUMBER(
   IF(Criterios!B14="SI",(Datos!J23-Datos!T23)/Datos!T23,(Datos!J23+Datos!AD23-(Datos!T23+Datos!AL23))/(Datos!T23+Datos!AL23))
     ),IF(Criterios!B14="SI",(Datos!J23-Datos!T23)/Datos!T23,(Datos!J23+Datos!AD23-(Datos!T23+Datos!AL23))/(Datos!T23+Datos!AL23))," - ")</f>
        <v>0.11425462459194777</v>
      </c>
      <c r="D23" s="1152">
        <f>IF(ISNUMBER(
   IF(Criterios!B14="SI",(Datos!K23-Datos!U23)/Datos!U23,(Datos!K23+Datos!AE23-(Datos!U23+Datos!AM23))/(Datos!U23+Datos!AM23))
     ),IF(Criterios!B14="SI",(Datos!K23-Datos!U23)/Datos!U23,(Datos!K23+Datos!AE23-(Datos!U23+Datos!AM23))/(Datos!U23+Datos!AM23))," - ")</f>
        <v>-9.4007050528789656E-3</v>
      </c>
      <c r="E23" s="1152">
        <f>IF(ISNUMBER(
   IF(Criterios!B14="SI",(Datos!L23-Datos!V23)/Datos!V23,(Datos!L23+Datos!AF23-(Datos!V23+Datos!AN23))/(Datos!V23+Datos!AN23))
     ),IF(Criterios!B14="SI",(Datos!L23-Datos!V23)/Datos!V23,(Datos!L23+Datos!AF23-(Datos!V23+Datos!AN23))/(Datos!V23+Datos!AN23))," - ")</f>
        <v>9.583333333333334E-2</v>
      </c>
      <c r="F23" s="1153">
        <f>IF(ISNUMBER((Datos!M23-Datos!W23)/Datos!W23),(Datos!M23-Datos!W23)/Datos!W23," - ")</f>
        <v>-3.9473684210526314E-2</v>
      </c>
      <c r="G23" s="1154">
        <f>IF(ISNUMBER((Datos!N23-Datos!X23)/Datos!X23),(Datos!N23-Datos!X23)/Datos!X23," - ")</f>
        <v>2.8571428571428571E-2</v>
      </c>
      <c r="H23" s="1154">
        <f>IF(ISNUMBER(((NºAsuntos!G23/NºAsuntos!E23)-Datos!BD23)/Datos!BD23),((NºAsuntos!G23/NºAsuntos!E23)-Datos!BD23)/Datos!BD23," - ")</f>
        <v>-0.11097582806991779</v>
      </c>
      <c r="I23" s="1154">
        <f>IF(ISNUMBER(((NºAsuntos!I23/NºAsuntos!G23)-Datos!BE23)/Datos!BE23),((NºAsuntos!I23/NºAsuntos!G23)-Datos!BE23)/Datos!BE23," - ")</f>
        <v>0.10623270067220243</v>
      </c>
      <c r="J23" s="1154">
        <f>IF(ISNUMBER((('Resol  Asuntos'!D23/NºAsuntos!G23)-Datos!BF23)/Datos!BF23),(('Resol  Asuntos'!D23/NºAsuntos!G23)-Datos!BF23)/Datos!BF23," - ")</f>
        <v>-3.0358369232690315E-2</v>
      </c>
      <c r="K23" s="1154">
        <f>IF(ISNUMBER((((NºAsuntos!C23+NºAsuntos!E23)/NºAsuntos!G23)-Datos!BG23)/Datos!BG23),(((NºAsuntos!C23+NºAsuntos!E23)/NºAsuntos!G23)-Datos!BG23)/Datos!BG23," - ")</f>
        <v>5.1947710925155224E-2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0.12550164173659248</v>
      </c>
      <c r="C31" s="1092">
        <f>IF(ISNUMBER(
   IF(J_V="SI",(Datos!J31-Datos!T31)/Datos!T31,(Datos!J31+Datos!Z31-(Datos!T31+Datos!AH31))/(Datos!T31+Datos!AH31))
     ),IF(J_V="SI",(Datos!J31-Datos!T31)/Datos!T31,(Datos!J31+Datos!Z31-(Datos!T31+Datos!AH31))/(Datos!T31+Datos!AH31))," - ")</f>
        <v>0.11292270531400966</v>
      </c>
      <c r="D31" s="1092">
        <f>IF(ISNUMBER(
   IF(J_V="SI",(Datos!K31-Datos!U31)/Datos!U31,(Datos!K31+Datos!AA31-(Datos!U31+Datos!AI31))/(Datos!U31+Datos!AI31))
     ),IF(J_V="SI",(Datos!K31-Datos!U31)/Datos!U31,(Datos!K31+Datos!AA31-(Datos!U31+Datos!AI31))/(Datos!U31+Datos!AI31))," - ")</f>
        <v>4.8418334409296319E-2</v>
      </c>
      <c r="E31" s="1092">
        <f>IF(ISNUMBER(
   IF(J_V="SI",(Datos!L31-Datos!V31)/Datos!V31,(Datos!L31+Datos!AB31-(Datos!V31+Datos!AJ31))/(Datos!V31+Datos!AJ31))
     ),IF(J_V="SI",(Datos!L31-Datos!V31)/Datos!V31,(Datos!L31+Datos!AB31-(Datos!V31+Datos!AJ31))/(Datos!V31+Datos!AJ31))," - ")</f>
        <v>0.17005610098176718</v>
      </c>
      <c r="F31" s="1093">
        <f>IF(ISNUMBER((Datos!M31-Datos!W31)/Datos!W31),(Datos!M31-Datos!W31)/Datos!W31," - ")</f>
        <v>0.21428571428571427</v>
      </c>
      <c r="G31" s="1094">
        <f>IF(ISNUMBER((Datos!N31-Datos!X31)/Datos!X31),(Datos!N31-Datos!X31)/Datos!X31," - ")</f>
        <v>-5.829596412556054E-2</v>
      </c>
      <c r="H31" s="1095">
        <f>IF(ISNUMBER((Tasas!B31-Datos!BD31)/Datos!BD31),(Tasas!B31-Datos!BD31)/Datos!BD31," - ")</f>
        <v>-5.7959434735868356E-2</v>
      </c>
      <c r="I31" s="1096">
        <f>IF(ISNUMBER((Tasas!C31-Datos!BE31)/Datos!BE31),(Tasas!C31-Datos!BE31)/Datos!BE31," - ")</f>
        <v>0.11602025887977663</v>
      </c>
      <c r="J31" s="1097">
        <f>IF(ISNUMBER((Tasas!D31-Datos!BF31)/Datos!BF31),(Tasas!D31-Datos!BF31)/Datos!BF31," - ")</f>
        <v>-0.40965164522454445</v>
      </c>
      <c r="K31" s="1097">
        <f>IF(ISNUMBER((Tasas!E31-Datos!BG31)/Datos!BG31),(Tasas!E31-Datos!BG31)/Datos!BG31," - ")</f>
        <v>6.9004728929599343E-2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V9NH6VfZxycLHIJKbsJ2rGI+h33RlT/HosomyHa09XmTqcxMKjVDgxdKWQnT9BLfx0Or6+TObgzyhDb/gTC/Q==" saltValue="9+48EnKrvsZ9o053Wl2z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MONCADA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3.8571428571428572</v>
      </c>
      <c r="D10" s="499">
        <f>IF(ISNUMBER('Resol  Asuntos'!D10/NºAsuntos!G10),'Resol  Asuntos'!D10/NºAsuntos!G10," - ")</f>
        <v>0.2857142857142857</v>
      </c>
      <c r="E10" s="500">
        <f>IF(ISNUMBER((NºAsuntos!C10+NºAsuntos!E10)/NºAsuntos!G10),(NºAsuntos!C10+NºAsuntos!E10)/NºAsuntos!G10," - ")</f>
        <v>4.8571428571428568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0.95673671199011123</v>
      </c>
      <c r="C12" s="498">
        <f>IF(ISNUMBER(NºAsuntos!I12/NºAsuntos!G12),NºAsuntos!I12/NºAsuntos!G12," - ")</f>
        <v>2.9173126614987082</v>
      </c>
      <c r="D12" s="499">
        <f>IF(ISNUMBER('Resol  Asuntos'!D12/NºAsuntos!G12),'Resol  Asuntos'!D12/NºAsuntos!G12," - ")</f>
        <v>0.23255813953488372</v>
      </c>
      <c r="E12" s="500">
        <f>IF(ISNUMBER((NºAsuntos!C12+NºAsuntos!E12)/NºAsuntos!G12),(NºAsuntos!C12+NºAsuntos!E12)/NºAsuntos!G12," - ")</f>
        <v>3.8901808785529717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0.95360195360195366</v>
      </c>
      <c r="C14" s="1156">
        <f>IF(ISNUMBER(NºAsuntos!I14/NºAsuntos!G14),NºAsuntos!I14/NºAsuntos!G14," - ")</f>
        <v>2.9257362355953904</v>
      </c>
      <c r="D14" s="1157">
        <f>IF(ISNUMBER('Resol  Asuntos'!D14/NºAsuntos!G14),'Resol  Asuntos'!D14/NºAsuntos!G14," - ")</f>
        <v>0.23303457106274009</v>
      </c>
      <c r="E14" s="1158">
        <f>IF(ISNUMBER((NºAsuntos!C14+NºAsuntos!E14)/NºAsuntos!G14),(NºAsuntos!C14+NºAsuntos!E14)/NºAsuntos!G14," - ")</f>
        <v>3.8988476312419973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0.8125</v>
      </c>
      <c r="C17" s="498">
        <f>IF(ISNUMBER(NºAsuntos!I17/NºAsuntos!G17),NºAsuntos!I17/NºAsuntos!G17," - ")</f>
        <v>1.2213225371120109</v>
      </c>
      <c r="D17" s="499">
        <f>IF(ISNUMBER('Resol  Asuntos'!D17/NºAsuntos!G17),'Resol  Asuntos'!D17/NºAsuntos!G17," - ")</f>
        <v>9.1767881241565458E-2</v>
      </c>
      <c r="E17" s="500">
        <f>IF(ISNUMBER((NºAsuntos!C17+NºAsuntos!E17)/NºAsuntos!G17),(NºAsuntos!C17+NºAsuntos!E17)/NºAsuntos!G17," - ")</f>
        <v>2.2051282051282053</v>
      </c>
      <c r="G17" s="523"/>
    </row>
    <row r="18" spans="1:7">
      <c r="A18" s="450" t="str">
        <f>Datos!A18</f>
        <v>Jdos. Violencia contra la mujer</v>
      </c>
      <c r="B18" s="497">
        <f>IF(ISNUMBER(NºAsuntos!G18/NºAsuntos!E18),NºAsuntos!G18/NºAsuntos!E18," - ")</f>
        <v>0.9107142857142857</v>
      </c>
      <c r="C18" s="498">
        <f>IF(ISNUMBER(NºAsuntos!I18/NºAsuntos!G18),NºAsuntos!I18/NºAsuntos!G18," - ")</f>
        <v>1.4411764705882353</v>
      </c>
      <c r="D18" s="499">
        <f>IF(ISNUMBER('Resol  Asuntos'!D18/NºAsuntos!G18),'Resol  Asuntos'!D18/NºAsuntos!G18," - ")</f>
        <v>4.9019607843137254E-2</v>
      </c>
      <c r="E18" s="500">
        <f>IF(ISNUMBER((NºAsuntos!C18+NºAsuntos!E18)/NºAsuntos!G18),(NºAsuntos!C18+NºAsuntos!E18)/NºAsuntos!G18," - ")</f>
        <v>2.4411764705882355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0.8232421875</v>
      </c>
      <c r="C23" s="1156">
        <f>IF(ISNUMBER(NºAsuntos!I23/NºAsuntos!G23),NºAsuntos!I23/NºAsuntos!G23," - ")</f>
        <v>1.2479240806642942</v>
      </c>
      <c r="D23" s="1159">
        <f>IF(ISNUMBER('Resol  Asuntos'!D23/NºAsuntos!G23),'Resol  Asuntos'!D23/NºAsuntos!G23," - ")</f>
        <v>8.6595492289442466E-2</v>
      </c>
      <c r="E23" s="1158">
        <f>IF(ISNUMBER((NºAsuntos!C23+NºAsuntos!E23)/NºAsuntos!G23),(NºAsuntos!C23+NºAsuntos!E23)/NºAsuntos!G23," - ")</f>
        <v>2.2336892052194544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0.88117200217037439</v>
      </c>
      <c r="C31" s="1099">
        <f>IF(ISNUMBER(NºAsuntos!I31/NºAsuntos!G31),NºAsuntos!I31/NºAsuntos!G31," - ")</f>
        <v>2.0548029556650245</v>
      </c>
      <c r="D31" s="1100">
        <f>IF(ISNUMBER('Resol  Asuntos'!D31/NºAsuntos!G31),'Resol  Asuntos'!D31/NºAsuntos!G31," - ")</f>
        <v>0.15701970443349753</v>
      </c>
      <c r="E31" s="1101">
        <f>IF(ISNUMBER((NºAsuntos!C31+NºAsuntos!E31)/NºAsuntos!G31),(NºAsuntos!C31+NºAsuntos!E31)/NºAsuntos!G31," - ")</f>
        <v>3.0344827586206895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gyCBUuwXtPHo2VHr8RmqvAJBM1jRDkeHsw5njFqgWtRITCnTAVVeuRKN89v48nwLqBeaB+HUtWoSEDmuzEhzw==" saltValue="WIAJipn1JqwwsG8k8B5T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MONCADA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27</v>
      </c>
      <c r="AB10" s="374">
        <f>IF(ISNUMBER(Datos!R10),Datos!R10," - ")</f>
        <v>9</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7.7142857142857144</v>
      </c>
      <c r="AN10" s="267">
        <f>IF(ISNUMBER('Resol  Asuntos'!D10/NºAsuntos!G10),'Resol  Asuntos'!D10/NºAsuntos!G10," - ")</f>
        <v>0.2857142857142857</v>
      </c>
      <c r="AO10" s="268">
        <f>IF(ISNUMBER((NºAsuntos!C10+NºAsuntos!E10)/NºAsuntos!G10),(NºAsuntos!C10+NºAsuntos!E10)/NºAsuntos!G10," - ")</f>
        <v>4.8571428571428568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163</v>
      </c>
      <c r="Y12" s="374">
        <f t="shared" si="0"/>
        <v>163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180</v>
      </c>
      <c r="AJ12" s="243" t="str">
        <f>IF(ISNUMBER(Datos!BW12),Datos!BW12," - ")</f>
        <v xml:space="preserve"> - </v>
      </c>
      <c r="AK12" s="242" t="str">
        <f>IF(ISNUMBER(Datos!BX12),Datos!BX12," - ")</f>
        <v xml:space="preserve"> - </v>
      </c>
      <c r="AL12" s="266">
        <f>IF(ISNUMBER(NºAsuntos!G12/NºAsuntos!E12),NºAsuntos!G12/NºAsuntos!E12," - ")</f>
        <v>0.95673671199011123</v>
      </c>
      <c r="AM12" s="284">
        <f>IF(ISNUMBER(((NºAsuntos!I12/NºAsuntos!G12)*11)/factor_trimestre),((NºAsuntos!I12/NºAsuntos!G12)*11)/factor_trimestre," - ")</f>
        <v>5.8346253229974163</v>
      </c>
      <c r="AN12" s="267">
        <f>IF(ISNUMBER('Resol  Asuntos'!D12/NºAsuntos!G12),'Resol  Asuntos'!D12/NºAsuntos!G12," - ")</f>
        <v>0.23255813953488372</v>
      </c>
      <c r="AO12" s="268">
        <f>IF(ISNUMBER((NºAsuntos!C12+NºAsuntos!E12)/NºAsuntos!G12),(NºAsuntos!C12+NºAsuntos!E12)/NºAsuntos!G12," - ")</f>
        <v>3.8901808785529717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24</v>
      </c>
      <c r="G14" s="1163">
        <f t="shared" si="5"/>
        <v>24</v>
      </c>
      <c r="H14" s="1162">
        <f t="shared" si="5"/>
        <v>0</v>
      </c>
      <c r="I14" s="1164">
        <f t="shared" si="5"/>
        <v>0</v>
      </c>
      <c r="J14" s="1164">
        <f t="shared" si="5"/>
        <v>0</v>
      </c>
      <c r="K14" s="1164">
        <f t="shared" si="5"/>
        <v>0</v>
      </c>
      <c r="L14" s="1164">
        <f t="shared" si="5"/>
        <v>182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163</v>
      </c>
      <c r="Y14" s="1165">
        <f t="shared" si="6"/>
        <v>170</v>
      </c>
      <c r="Z14" s="1165">
        <f t="shared" si="6"/>
        <v>0</v>
      </c>
      <c r="AA14" s="1165">
        <f t="shared" si="6"/>
        <v>27</v>
      </c>
      <c r="AB14" s="1165">
        <f t="shared" si="6"/>
        <v>4540</v>
      </c>
      <c r="AC14" s="1165">
        <f t="shared" si="6"/>
        <v>36</v>
      </c>
      <c r="AD14" s="1165">
        <f t="shared" si="6"/>
        <v>0</v>
      </c>
      <c r="AE14" s="1169">
        <f t="shared" si="6"/>
        <v>0</v>
      </c>
      <c r="AF14" s="1162">
        <f t="shared" si="6"/>
        <v>0</v>
      </c>
      <c r="AG14" s="1170">
        <f t="shared" si="6"/>
        <v>0</v>
      </c>
      <c r="AH14" s="1167">
        <f t="shared" si="6"/>
        <v>0</v>
      </c>
      <c r="AI14" s="1162">
        <f t="shared" si="6"/>
        <v>182</v>
      </c>
      <c r="AJ14" s="1164">
        <f t="shared" si="6"/>
        <v>0</v>
      </c>
      <c r="AK14" s="1167">
        <f>SUBTOTAL(9,AK9:AK13)</f>
        <v>0</v>
      </c>
      <c r="AL14" s="1171">
        <f>IF(ISNUMBER(NºAsuntos!G14/NºAsuntos!E14),NºAsuntos!G14/NºAsuntos!E14," - ")</f>
        <v>0.95360195360195366</v>
      </c>
      <c r="AM14" s="1171">
        <f>IF(ISNUMBER(((NºAsuntos!I14/NºAsuntos!G14)*11)/factor_trimestre),((NºAsuntos!I14/NºAsuntos!G14)*11)/factor_trimestre," - ")</f>
        <v>5.8514724711907808</v>
      </c>
      <c r="AN14" s="1172">
        <f>IF(ISNUMBER('Resol  Asuntos'!D14/NºAsuntos!G14),'Resol  Asuntos'!D14/NºAsuntos!G14," - ")</f>
        <v>0.23303457106274009</v>
      </c>
      <c r="AO14" s="1173">
        <f>IF(ISNUMBER((NºAsuntos!C14+NºAsuntos!E14)/NºAsuntos!G14),(NºAsuntos!C14+NºAsuntos!E14)/NºAsuntos!G14," - ")</f>
        <v>3.8988476312419973</v>
      </c>
      <c r="AP14" s="1174" t="str">
        <f t="shared" si="2"/>
        <v xml:space="preserve"> - </v>
      </c>
      <c r="AQ14" s="1174">
        <f>IF(ISNUMBER((H14-W14+K14)/(F14)),(H14-W14+K14)/(F14)," - ")</f>
        <v>-0.29166666666666669</v>
      </c>
      <c r="AR14" s="1175">
        <f>IF(ISNUMBER((Datos!P14-Datos!Q14)/(Datos!R14-Datos!P14+Datos!Q14)),(Datos!P14-Datos!Q14)/(Datos!R14-Datos!P14+Datos!Q14)," - ")</f>
        <v>4.2026100420261003E-3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734</v>
      </c>
      <c r="G17" s="373">
        <f>IF(ISNUMBER(IF(D_I="SI",Datos!I17,Datos!I17+Datos!AC17)),IF(D_I="SI",Datos!I17,Datos!I17+Datos!AC17)," - ")</f>
        <v>722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741</v>
      </c>
      <c r="X17" s="240">
        <f>IF(ISNUMBER(Datos!Q17),Datos!Q17," - ")</f>
        <v>37</v>
      </c>
      <c r="Y17" s="374">
        <f t="shared" ref="Y17:Y22" si="9">SUM(W17:X17)</f>
        <v>778</v>
      </c>
      <c r="Z17" s="375" t="str">
        <f>IF(ISNUMBER(Datos!CC17),Datos!CC17," - ")</f>
        <v xml:space="preserve"> - </v>
      </c>
      <c r="AA17" s="372">
        <f>IF(ISNUMBER(IF(D_I="SI",Datos!L17,Datos!L17+Datos!AF17)),IF(D_I="SI",Datos!L17,Datos!L17+Datos!AF17)," - ")</f>
        <v>905</v>
      </c>
      <c r="AB17" s="374">
        <f>IF(ISNUMBER(Datos!R17),Datos!R17," - ")</f>
        <v>183</v>
      </c>
      <c r="AC17" s="374">
        <f t="shared" si="8"/>
        <v>1088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0.8125</v>
      </c>
      <c r="AM17" s="284">
        <f>IF(ISNUMBER(((NºAsuntos!I17/NºAsuntos!G17)*11)/factor_trimestre),((NºAsuntos!I17/NºAsuntos!G17)*11)/factor_trimestre," - ")</f>
        <v>2.4426450742240218</v>
      </c>
      <c r="AN17" s="267">
        <f>IF(ISNUMBER('Resol  Asuntos'!D17/NºAsuntos!G17),'Resol  Asuntos'!D17/NºAsuntos!G17," - ")</f>
        <v>9.1767881241565458E-2</v>
      </c>
      <c r="AO17" s="268">
        <f>IF(ISNUMBER((NºAsuntos!C17+NºAsuntos!E17)/NºAsuntos!G17),(NºAsuntos!C17+NºAsuntos!E17)/NºAsuntos!G17," - ")</f>
        <v>2.2051282051282053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147</v>
      </c>
      <c r="AB18" s="374">
        <f>IF(ISNUMBER(Datos!R18),Datos!R18," - ")</f>
        <v>0</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0.9107142857142857</v>
      </c>
      <c r="AM18" s="284">
        <f>IF(ISNUMBER(((NºAsuntos!I18/NºAsuntos!G18)*11)/factor_trimestre),((NºAsuntos!I18/NºAsuntos!G18)*11)/factor_trimestre," - ")</f>
        <v>2.8823529411764706</v>
      </c>
      <c r="AN18" s="267">
        <f>IF(ISNUMBER('Resol  Asuntos'!D18/NºAsuntos!G18),'Resol  Asuntos'!D18/NºAsuntos!G18," - ")</f>
        <v>4.9019607843137254E-2</v>
      </c>
      <c r="AO18" s="268">
        <f>IF(ISNUMBER((NºAsuntos!C18+NºAsuntos!E18)/NºAsuntos!G18),(NºAsuntos!C18+NºAsuntos!E18)/NºAsuntos!G18," - ")</f>
        <v>2.4411764705882355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734</v>
      </c>
      <c r="G23" s="1163">
        <f>SUBTOTAL(9,G16:G22)</f>
        <v>859</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843</v>
      </c>
      <c r="X23" s="1164">
        <f t="shared" si="14"/>
        <v>37</v>
      </c>
      <c r="Y23" s="1165">
        <f t="shared" si="14"/>
        <v>880</v>
      </c>
      <c r="Z23" s="1165">
        <f t="shared" si="14"/>
        <v>0</v>
      </c>
      <c r="AA23" s="1165">
        <f t="shared" si="14"/>
        <v>1052</v>
      </c>
      <c r="AB23" s="1165">
        <f t="shared" si="14"/>
        <v>183</v>
      </c>
      <c r="AC23" s="1165">
        <f t="shared" si="14"/>
        <v>1235</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0.8232421875</v>
      </c>
      <c r="AM23" s="1171">
        <f>IF(ISNUMBER(((NºAsuntos!I23/NºAsuntos!G23)*11)/factor_trimestre),((NºAsuntos!I23/NºAsuntos!G23)*11)/factor_trimestre," - ")</f>
        <v>2.4958481613285883</v>
      </c>
      <c r="AN23" s="1172">
        <f>IF(ISNUMBER('Resol  Asuntos'!D23/NºAsuntos!G23),'Resol  Asuntos'!D23/NºAsuntos!G23," - ")</f>
        <v>8.6595492289442466E-2</v>
      </c>
      <c r="AO23" s="1173">
        <f>IF(ISNUMBER((NºAsuntos!C23+NºAsuntos!E23)/NºAsuntos!G23),(NºAsuntos!C23+NºAsuntos!E23)/NºAsuntos!G23," - ")</f>
        <v>2.2336892052194544</v>
      </c>
      <c r="AP23" s="1174" t="str">
        <f t="shared" si="2"/>
        <v xml:space="preserve"> - </v>
      </c>
      <c r="AQ23" s="1174">
        <f>IF(ISNUMBER((H23-W23+K23)/(F23)),(H23-W23+K23)/(F23)," - ")</f>
        <v>-1.1485013623978202</v>
      </c>
      <c r="AR23" s="1175">
        <f>IF(ISNUMBER((Datos!P23-Datos!Q23)/(Datos!R23-Datos!P23+Datos!Q23)),(Datos!P23-Datos!Q23)/(Datos!R23-Datos!P23+Datos!Q23)," - ")</f>
        <v>-7.1065989847715741E-2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758</v>
      </c>
      <c r="G31" s="1118">
        <f t="shared" si="20"/>
        <v>883</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850</v>
      </c>
      <c r="X31" s="1118">
        <f t="shared" si="21"/>
        <v>200</v>
      </c>
      <c r="Y31" s="1125">
        <f t="shared" si="21"/>
        <v>1050</v>
      </c>
      <c r="Z31" s="1125">
        <f t="shared" si="21"/>
        <v>0</v>
      </c>
      <c r="AA31" s="1125">
        <f t="shared" si="21"/>
        <v>1079</v>
      </c>
      <c r="AB31" s="1125">
        <f t="shared" si="21"/>
        <v>4723</v>
      </c>
      <c r="AC31" s="1125">
        <f t="shared" si="21"/>
        <v>1271</v>
      </c>
      <c r="AD31" s="1125">
        <f t="shared" si="21"/>
        <v>0</v>
      </c>
      <c r="AE31" s="1127">
        <f t="shared" si="21"/>
        <v>0</v>
      </c>
      <c r="AF31" s="1128">
        <f t="shared" si="21"/>
        <v>0</v>
      </c>
      <c r="AG31" s="1129">
        <f t="shared" si="21"/>
        <v>0</v>
      </c>
      <c r="AH31" s="1127">
        <f t="shared" si="21"/>
        <v>0</v>
      </c>
      <c r="AI31" s="1117">
        <f t="shared" si="21"/>
        <v>255</v>
      </c>
      <c r="AJ31" s="1117">
        <f t="shared" si="21"/>
        <v>0</v>
      </c>
      <c r="AK31" s="1127">
        <f t="shared" si="21"/>
        <v>0</v>
      </c>
      <c r="AL31" s="1183">
        <f>IF(ISNUMBER(NºAsuntos!G31/NºAsuntos!E31),NºAsuntos!G31/NºAsuntos!E31," - ")</f>
        <v>0.88117200217037439</v>
      </c>
      <c r="AM31" s="1184">
        <f>IF(ISNUMBER(((NºAsuntos!I31/NºAsuntos!G31)*11)/factor_trimestre),((NºAsuntos!I31/NºAsuntos!G31)*11)/factor_trimestre," - ")</f>
        <v>4.1096059113300489</v>
      </c>
      <c r="AN31" s="1184">
        <f>IF(ISNUMBER('Resol  Asuntos'!D31/NºAsuntos!G31),'Resol  Asuntos'!D31/NºAsuntos!G31," - ")</f>
        <v>0.15701970443349753</v>
      </c>
      <c r="AO31" s="1185">
        <f>IF(ISNUMBER((NºAsuntos!C31+NºAsuntos!E31)/NºAsuntos!G31),(NºAsuntos!C31+NºAsuntos!E31)/NºAsuntos!G31," - ")</f>
        <v>3.0344827586206895</v>
      </c>
      <c r="AP31" s="1186" t="str">
        <f t="shared" si="2"/>
        <v xml:space="preserve"> - </v>
      </c>
      <c r="AQ31" s="1187">
        <f>IF(OR(ISNUMBER(FIND("01",Criterios!A8,1)),ISNUMBER(FIND("02",Criterios!A8,1)),ISNUMBER(FIND("03",Criterios!A8,1)),ISNUMBER(FIND("04",Criterios!A8,1))),(I31-W31+K31)/(F31-K31),(H31-W31+K31)/(F31-K31))</f>
        <v>-1.1213720316622691</v>
      </c>
      <c r="AR31" s="1188">
        <f>IF(ISNUMBER((Datos!P31-Datos!Q31)/(Datos!R31-Datos!P31+Datos!Q31)),(Datos!P31-Datos!Q31)/(Datos!R31-Datos!P31+Datos!Q31)," - ")</f>
        <v>1.0597710894446799E-3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372.99365499518444</v>
      </c>
      <c r="G33" s="277">
        <f>IF(ISNUMBER(STDEV(G8:G30)),STDEV(G8:G30),"-")</f>
        <v>372.72631348203038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378.01562074047882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78.370457261831589</v>
      </c>
      <c r="AJ33" s="276">
        <f t="shared" si="25"/>
        <v>0</v>
      </c>
      <c r="AK33" s="278">
        <f t="shared" si="25"/>
        <v>0</v>
      </c>
      <c r="AL33" s="273">
        <f t="shared" si="25"/>
        <v>9.9896877693124581E-2</v>
      </c>
      <c r="AM33" s="274">
        <f t="shared" si="25"/>
        <v>2.226984240654446</v>
      </c>
      <c r="AN33" s="274">
        <f t="shared" si="25"/>
        <v>9.869659146144448E-2</v>
      </c>
      <c r="AO33" s="275">
        <f t="shared" si="25"/>
        <v>1.1128763693033128</v>
      </c>
      <c r="AP33" s="317" t="str">
        <f t="shared" si="25"/>
        <v>-</v>
      </c>
      <c r="AQ33" s="318">
        <f t="shared" si="25"/>
        <v>0.60587362370741071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DKo+DBBsZ05B2oH32kpQfHwsOQcxkttPebdXV/52TzHQQWS5R2ITageCIMFZlyNKTx7ZQUm5M2lCsPtHSWCog==" saltValue="9T47EDM/ij2MgpNGQ04I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MONCADA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0.66666666666666663</v>
      </c>
      <c r="F10" s="393">
        <f>IF(ISNUMBER((Datos!K10-Datos!U10)/Datos!U10),(Datos!K10-Datos!U10)/Datos!U10," - ")</f>
        <v>0.75</v>
      </c>
      <c r="G10" s="394">
        <f>IF(ISNUMBER((Datos!L10-Datos!V10)/Datos!V10),(Datos!L10-Datos!V10)/Datos!V10," - ")</f>
        <v>0.35</v>
      </c>
      <c r="H10" s="244">
        <f>IF(ISNUMBER((Datos!M10-Datos!W10)/Datos!W10),(Datos!M10-Datos!W10)/Datos!W10," - ")</f>
        <v>-0.5</v>
      </c>
      <c r="I10" s="395">
        <f>IF(ISNUMBER((Tasas!C10-Datos!BE10)/Datos!BE10),(Tasas!C10-Datos!BE10)/Datos!BE10," - ")</f>
        <v>-0.22857142857142856</v>
      </c>
      <c r="J10" s="394">
        <f>IF(ISNUMBER((Tasas!D10-Datos!BF10)/Datos!BF10),(Tasas!D10-Datos!BF10)/Datos!BF10," - ")</f>
        <v>-0.7142857142857143</v>
      </c>
      <c r="K10" s="396">
        <f>IF(ISNUMBER((Tasas!E10-Datos!BG10)/Datos!BG10),(Tasas!E10-Datos!BG10)/Datos!BG10," - ")</f>
        <v>-0.19047619047619055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0.38461538461538464</v>
      </c>
      <c r="I12" s="395">
        <f>IF(ISNUMBER((Tasas!C12-Datos!BE12)/Datos!BE12),(Tasas!C12-Datos!BE12)/Datos!BE12," - ")</f>
        <v>8.1525099935952791E-2</v>
      </c>
      <c r="J12" s="394">
        <f>IF(ISNUMBER((Tasas!D12-Datos!BF12)/Datos!BF12),(Tasas!D12-Datos!BF12)/Datos!BF12," - ")</f>
        <v>-0.51386943121322504</v>
      </c>
      <c r="K12" s="396">
        <f>IF(ISNUMBER((Tasas!E12-Datos!BG12)/Datos!BG12),(Tasas!E12-Datos!BG12)/Datos!BG12," - ")</f>
        <v>5.2137774635916796E-2</v>
      </c>
      <c r="M12" t="e">
        <f>IF(Monitorios="SI",Datos!CE12,0)</f>
        <v>#REF!</v>
      </c>
      <c r="N12" t="e">
        <f>IF(Monitorios="SI",Datos!CF12,0)</f>
        <v>#REF!</v>
      </c>
      <c r="O12" t="e">
        <f>IF(Monitorios="SI",Datos!CG12,0)</f>
        <v>#REF!</v>
      </c>
      <c r="P12" t="e">
        <f>IF(Monitorios="SI",Datos!CH12,0)</f>
        <v>#REF!</v>
      </c>
      <c r="Q12">
        <f>IF(J_V="SI",0,Datos!AG12)</f>
        <v>132</v>
      </c>
      <c r="R12">
        <f>IF(J_V="SI",0,Datos!AH12)</f>
        <v>78</v>
      </c>
      <c r="S12">
        <f>IF(J_V="SI",0,Datos!AI12)</f>
        <v>72</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0.35820895522388058</v>
      </c>
      <c r="I14" s="402">
        <f>IF(ISNUMBER((Tasas!C14-Datos!BE14)/Datos!BE14),(Tasas!C14-Datos!BE14)/Datos!BE14," - ")</f>
        <v>7.9367807846502422E-2</v>
      </c>
      <c r="J14" s="400">
        <f>IF(ISNUMBER((Tasas!D14-Datos!BF14)/Datos!BF14),(Tasas!D14-Datos!BF14)/Datos!BF14," - ")</f>
        <v>-0.51589842082799831</v>
      </c>
      <c r="K14" s="403">
        <f>IF(ISNUMBER((Tasas!E14-Datos!BG14)/Datos!BG14),(Tasas!E14-Datos!BG14)/Datos!BG14," - ")</f>
        <v>5.0731909886839448E-2</v>
      </c>
      <c r="M14" t="e">
        <f>IF(Monitorios="SI",Datos!CE14,0)</f>
        <v>#REF!</v>
      </c>
      <c r="N14" t="e">
        <f>IF(Monitorios="SI",Datos!CF14,0)</f>
        <v>#REF!</v>
      </c>
      <c r="O14" t="e">
        <f>IF(Monitorios="SI",Datos!CG14,0)</f>
        <v>#REF!</v>
      </c>
      <c r="P14" t="e">
        <f>IF(Monitorios="SI",Datos!CH14,0)</f>
        <v>#REF!</v>
      </c>
      <c r="Q14">
        <f>IF(J_V="SI",0,Datos!AG14)</f>
        <v>132</v>
      </c>
      <c r="R14">
        <f>IF(J_V="SI",0,Datos!AH14)</f>
        <v>78</v>
      </c>
      <c r="S14">
        <f>IF(J_V="SI",0,Datos!AI14)</f>
        <v>72</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-1.9021739130434784E-2</v>
      </c>
      <c r="E17" s="393">
        <f>IF(ISNUMBER(
   IF(D_I="SI",(Datos!J17-Datos!T17)/Datos!T17,(Datos!J17+Datos!AD17-(Datos!T17+Datos!AL17))/(Datos!T17+Datos!AL17))
     ),IF(D_I="SI",(Datos!J17-Datos!T17)/Datos!T17,(Datos!J17+Datos!AD17-(Datos!T17+Datos!AL17))/(Datos!T17+Datos!AL17))," - ")</f>
        <v>0.11355311355311355</v>
      </c>
      <c r="F17" s="393">
        <f>IF(ISNUMBER(
   IF(D_I="SI",(Datos!K17-Datos!U17)/Datos!U17,(Datos!K17+Datos!AE17-(Datos!U17+Datos!AM17))/(Datos!U17+Datos!AM17))
     ),IF(D_I="SI",(Datos!K17-Datos!U17)/Datos!U17,(Datos!K17+Datos!AE17-(Datos!U17+Datos!AM17))/(Datos!U17+Datos!AM17))," - ")</f>
        <v>-9.3582887700534752E-3</v>
      </c>
      <c r="G17" s="394">
        <f>IF(ISNUMBER(
   IF(D_I="SI",(Datos!L17-Datos!V17)/Datos!V17,(Datos!L17+Datos!AF17-(Datos!V17+Datos!AN17))/(Datos!V17+Datos!AN17))
     ),IF(D_I="SI",(Datos!L17-Datos!V17)/Datos!V17,(Datos!L17+Datos!AF17-(Datos!V17+Datos!AN17))/(Datos!V17+Datos!AN17))," - ")</f>
        <v>0.11590628853267571</v>
      </c>
      <c r="H17" s="244">
        <f>IF(ISNUMBER((Datos!M17-Datos!W17)/Datos!W17),(Datos!M17-Datos!W17)/Datos!W17," - ")</f>
        <v>3.0303030303030304E-2</v>
      </c>
      <c r="I17" s="395">
        <f>IF(ISNUMBER((Tasas!C17-Datos!BE17)/Datos!BE17),(Tasas!C17-Datos!BE17)/Datos!BE17," - ")</f>
        <v>0.12644791339060929</v>
      </c>
      <c r="J17" s="394">
        <f>IF(ISNUMBER((Tasas!D17-Datos!BF17)/Datos!BF17),(Tasas!D17-Datos!BF17)/Datos!BF17," - ")</f>
        <v>4.0035987404408453E-2</v>
      </c>
      <c r="K17" s="396">
        <f>IF(ISNUMBER((Tasas!E17-Datos!BG17)/Datos!BG17),(Tasas!E17-Datos!BG17)/Datos!BG17," - ")</f>
        <v>6.0730480666171954E-2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-9.8684210526315791E-2</v>
      </c>
      <c r="E18" s="393">
        <f>IF(ISNUMBER(
   IF(D_I="SI",(Datos!J18-Datos!T18)/Datos!T18,(Datos!J18+Datos!AD18-(Datos!T18+Datos!AL18))/(Datos!T18+Datos!AL18))
     ),IF(D_I="SI",(Datos!J18-Datos!T18)/Datos!T18,(Datos!J18+Datos!AD18-(Datos!T18+Datos!AL18))/(Datos!T18+Datos!AL18))," - ")</f>
        <v>0.12</v>
      </c>
      <c r="F18" s="393">
        <f>IF(ISNUMBER(
   IF(D_I="SI",(Datos!K18-Datos!U18)/Datos!U18,(Datos!K18+Datos!AE18-(Datos!U18+Datos!AM18))/(Datos!U18+Datos!AM18))
     ),IF(D_I="SI",(Datos!K18-Datos!U18)/Datos!U18,(Datos!K18+Datos!AE18-(Datos!U18+Datos!AM18))/(Datos!U18+Datos!AM18))," - ")</f>
        <v>-9.7087378640776691E-3</v>
      </c>
      <c r="G18" s="394">
        <f>IF(ISNUMBER(
   IF(D_I="SI",(Datos!L18-Datos!V18)/Datos!V18,(Datos!L18+Datos!AF18-(Datos!V18+Datos!AN18))/(Datos!V18+Datos!AN18))
     ),IF(D_I="SI",(Datos!L18-Datos!V18)/Datos!V18,(Datos!L18+Datos!AF18-(Datos!V18+Datos!AN18))/(Datos!V18+Datos!AN18))," - ")</f>
        <v>-1.3422818791946308E-2</v>
      </c>
      <c r="H18" s="244">
        <f>IF(ISNUMBER((Datos!M18-Datos!W18)/Datos!W18),(Datos!M18-Datos!W18)/Datos!W18," - ")</f>
        <v>-0.5</v>
      </c>
      <c r="I18" s="395">
        <f>IF(ISNUMBER((Tasas!C18-Datos!BE18)/Datos!BE18),(Tasas!C18-Datos!BE18)/Datos!BE18," - ")</f>
        <v>-3.7504934859850232E-3</v>
      </c>
      <c r="J18" s="394">
        <f>IF(ISNUMBER((Tasas!D18-Datos!BF18)/Datos!BF18),(Tasas!D18-Datos!BF18)/Datos!BF18," - ")</f>
        <v>-0.49509803921568629</v>
      </c>
      <c r="K18" s="396">
        <f>IF(ISNUMBER((Tasas!E18-Datos!BG18)/Datos!BG18),(Tasas!E18-Datos!BG18)/Datos!BG18," - ")</f>
        <v>-2.2175536881417573E-3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-3.2657657657657657E-2</v>
      </c>
      <c r="E23" s="399">
        <f>IF(ISNUMBER(
   IF(D_I="SI",(Datos!J23-Datos!T23)/Datos!T23,(Datos!J23+Datos!AD23-(Datos!T23+Datos!AL23))/(Datos!T23+Datos!AL23))
     ),IF(D_I="SI",(Datos!J23-Datos!T23)/Datos!T23,(Datos!J23+Datos!AD23-(Datos!T23+Datos!AL23))/(Datos!T23+Datos!AL23))," - ")</f>
        <v>0.11425462459194777</v>
      </c>
      <c r="F23" s="399">
        <f>IF(ISNUMBER(
   IF(D_I="SI",(Datos!K23-Datos!U23)/Datos!U23,(Datos!K23+Datos!AE23-(Datos!U23+Datos!AM23))/(Datos!U23+Datos!AM23))
     ),IF(D_I="SI",(Datos!K23-Datos!U23)/Datos!U23,(Datos!K23+Datos!AE23-(Datos!U23+Datos!AM23))/(Datos!U23+Datos!AM23))," - ")</f>
        <v>-9.4007050528789656E-3</v>
      </c>
      <c r="G23" s="400">
        <f>IF(ISNUMBER(
   IF(D_I="SI",(Datos!L23-Datos!V23)/Datos!V23,(Datos!L23+Datos!AF23-(Datos!V23+Datos!AN23))/(Datos!V23+Datos!AN23))
     ),IF(D_I="SI",(Datos!L23-Datos!V23)/Datos!V23,(Datos!L23+Datos!AF23-(Datos!V23+Datos!AN23))/(Datos!V23+Datos!AN23))," - ")</f>
        <v>9.583333333333334E-2</v>
      </c>
      <c r="H23" s="401">
        <f>IF(ISNUMBER((Datos!M23-Datos!W23)/Datos!W23),(Datos!M23-Datos!W23)/Datos!W23," - ")</f>
        <v>-3.9473684210526314E-2</v>
      </c>
      <c r="I23" s="402">
        <f>IF(ISNUMBER((Tasas!C23-Datos!BE23)/Datos!BE23),(Tasas!C23-Datos!BE23)/Datos!BE23," - ")</f>
        <v>0.10623270067220243</v>
      </c>
      <c r="J23" s="400">
        <f>IF(ISNUMBER((Tasas!D23-Datos!BF23)/Datos!BF23),(Tasas!D23-Datos!BF23)/Datos!BF23," - ")</f>
        <v>-3.0358369232690315E-2</v>
      </c>
      <c r="K23" s="403">
        <f>IF(ISNUMBER((Tasas!E23-Datos!BG23)/Datos!BG23),(Tasas!E23-Datos!BG23)/Datos!BG23," - ")</f>
        <v>5.1947710925155224E-2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0.12550164173659248</v>
      </c>
      <c r="E31" s="409">
        <f>IF(ISNUMBER(
   IF(J_V="SI",(Datos!J31-Datos!T31)/Datos!T31,(Datos!J31+Datos!Z31-(Datos!T31+Datos!AH31))/(Datos!T31+Datos!AH31))
     ),IF(J_V="SI",(Datos!J31-Datos!T31)/Datos!T31,(Datos!J31+Datos!Z31-(Datos!T31+Datos!AH31))/(Datos!T31+Datos!AH31))," - ")</f>
        <v>0.11292270531400966</v>
      </c>
      <c r="F31" s="409">
        <f>IF(ISNUMBER(
   IF(J_V="SI",(Datos!K31-Datos!U31)/Datos!U31,(Datos!K31+Datos!AA31-(Datos!U31+Datos!AI31))/(Datos!U31+Datos!AI31))
     ),IF(J_V="SI",(Datos!K31-Datos!U31)/Datos!U31,(Datos!K31+Datos!AA31-(Datos!U31+Datos!AI31))/(Datos!U31+Datos!AI31))," - ")</f>
        <v>4.8418334409296319E-2</v>
      </c>
      <c r="G31" s="410">
        <f>IF(ISNUMBER(
   IF(J_V="SI",(Datos!L31-Datos!V31)/Datos!V31,(Datos!L31+Datos!AB31-(Datos!V31+Datos!AJ31))/(Datos!V31+Datos!AJ31))
     ),IF(J_V="SI",(Datos!L31-Datos!V31)/Datos!V31,(Datos!L31+Datos!AB31-(Datos!V31+Datos!AJ31))/(Datos!V31+Datos!AJ31))," - ")</f>
        <v>0.17005610098176718</v>
      </c>
      <c r="H31" s="411">
        <f>IF(ISNUMBER((Datos!M31-Datos!W31)/Datos!W31),(Datos!M31-Datos!W31)/Datos!W31," - ")</f>
        <v>0.21428571428571427</v>
      </c>
      <c r="I31" s="408">
        <f>IF(ISNUMBER((Tasas!C31-Datos!BE31)/Datos!BE31),(Tasas!C31-Datos!BE31)/Datos!BE31," - ")</f>
        <v>0.11602025887977663</v>
      </c>
      <c r="J31" s="409">
        <f>IF(ISNUMBER((Tasas!D31-Datos!BF31)/Datos!BF31),(Tasas!D31-Datos!BF31)/Datos!BF31," - ")</f>
        <v>-0.40965164522454445</v>
      </c>
      <c r="K31" s="410">
        <f>IF(ISNUMBER((Tasas!E31-Datos!BG31)/Datos!BG31),(Tasas!E31-Datos!BG31)/Datos!BG31," - ")</f>
        <v>6.9004728929599343E-2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0.19485768612133683</v>
      </c>
      <c r="E33" s="303">
        <f t="shared" si="1"/>
        <v>0.27538052084232473</v>
      </c>
      <c r="F33" s="303">
        <f t="shared" si="1"/>
        <v>0.37974465405975383</v>
      </c>
      <c r="G33" s="304">
        <f t="shared" si="1"/>
        <v>0.15290044520338383</v>
      </c>
      <c r="H33" s="310">
        <f t="shared" si="1"/>
        <v>0.39163649010440821</v>
      </c>
      <c r="I33" s="302">
        <f t="shared" si="1"/>
        <v>0.13277449812100486</v>
      </c>
      <c r="J33" s="303">
        <f t="shared" si="1"/>
        <v>0.30319562128283561</v>
      </c>
      <c r="K33" s="304">
        <f t="shared" si="1"/>
        <v>9.785486699040119E-2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90JkeYTkzALqyxWGi1mvnvvlL9U4XLDOaAfhvbDC2F+FZk+t2P8Plk4KxBhVZTZQmPfT5+1D5bj7bWXftZWng==" saltValue="Sk959f2vVRKOlFfyl39E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